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495" windowWidth="18810" windowHeight="10320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Sheet'!$Z$11:$CR$35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<sst xmlns="http://schemas.openxmlformats.org/spreadsheetml/2006/main" count="252" uniqueCount="115">
  <si>
    <t>Team</t>
  </si>
  <si>
    <t>Round Zero</t>
  </si>
  <si>
    <t>Date:</t>
  </si>
  <si>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</si>
  <si>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</si>
  <si>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</si>
  <si>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</si>
  <si>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</si>
  <si>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</si>
  <si>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</si>
  <si>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</si>
  <si>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</si>
  <si>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</si>
  <si>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Discard ON/OFF</t>
  </si>
  <si>
    <t>Start time:</t>
  </si>
  <si>
    <t>End time:</t>
  </si>
  <si>
    <t>Discard ON</t>
  </si>
  <si>
    <t>Latest round</t>
  </si>
  <si>
    <t>Round started markers</t>
  </si>
  <si>
    <t xml:space="preserve"> </t>
  </si>
  <si>
    <t>Discard active from round No.</t>
  </si>
  <si>
    <t>Results</t>
  </si>
  <si>
    <t>Round Zero Scores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</si>
  <si>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</si>
  <si>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</si>
  <si>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</si>
  <si>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</si>
  <si>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</si>
  <si>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</si>
  <si>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</si>
  <si>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</si>
  <si>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</si>
  <si>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</si>
  <si>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</si>
  <si>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Discard at each round during competition</t>
  </si>
  <si>
    <t>Copy of points total for each round ignoring penalties</t>
  </si>
  <si>
    <t>Number</t>
  </si>
  <si>
    <t>Rotation</t>
  </si>
  <si>
    <t>Name</t>
  </si>
  <si>
    <t>Initials</t>
  </si>
  <si>
    <t>Frequency</t>
  </si>
  <si>
    <t>Country or Club</t>
  </si>
  <si>
    <t>FAI Total</t>
  </si>
  <si>
    <t>Rank</t>
  </si>
  <si>
    <t>Time</t>
  </si>
  <si>
    <t>Penalty</t>
  </si>
  <si>
    <t>FAI</t>
  </si>
  <si>
    <t>FAI for rank</t>
  </si>
  <si>
    <t>Rank in Round 0</t>
  </si>
  <si>
    <t>Rank in Round 1</t>
  </si>
  <si>
    <t>FAI Subtotal</t>
  </si>
  <si>
    <t>FAI Rank Subtotal</t>
  </si>
  <si>
    <t>Rank to Round 1</t>
  </si>
  <si>
    <t>Rank in Round 2</t>
  </si>
  <si>
    <t>Discard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</si>
  <si>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</si>
  <si>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</si>
  <si>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</si>
  <si>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</si>
  <si>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</si>
  <si>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</si>
  <si>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</si>
  <si>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</si>
  <si>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</si>
  <si>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</si>
  <si>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</si>
  <si>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</si>
  <si>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</si>
  <si>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</si>
  <si>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</si>
  <si>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</si>
  <si>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</si>
  <si>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</si>
  <si>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</si>
  <si>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</si>
  <si>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</si>
  <si>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</si>
  <si>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</si>
  <si>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</si>
  <si>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</si>
  <si>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</si>
  <si>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</si>
  <si>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</si>
  <si>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</si>
  <si>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</si>
  <si>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</si>
  <si>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</si>
  <si>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</si>
  <si>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</si>
  <si>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</si>
  <si>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Pete Bailey</t>
  </si>
  <si>
    <t>Ken Woodhouse</t>
  </si>
  <si>
    <t>Simon Hall</t>
  </si>
  <si>
    <t>Andrew Freeman</t>
  </si>
  <si>
    <t>Andy Ellison</t>
  </si>
  <si>
    <t>Mike Shellim</t>
  </si>
  <si>
    <t>Ian Mason</t>
  </si>
  <si>
    <t>F Hutton</t>
  </si>
  <si>
    <t>Keith Wood</t>
  </si>
  <si>
    <t>Paul Stabley</t>
  </si>
  <si>
    <t>Mark Southall</t>
  </si>
  <si>
    <t>Mark Freeman</t>
  </si>
  <si>
    <t>Mike Evans</t>
  </si>
  <si>
    <t>Tom Noble</t>
  </si>
  <si>
    <t>Mark Passingham</t>
  </si>
  <si>
    <t>Nigel Potter</t>
  </si>
  <si>
    <t>Paul Potter</t>
  </si>
  <si>
    <t>Ali Oldman</t>
  </si>
  <si>
    <t>Kevin Newton</t>
  </si>
  <si>
    <t>John Edison</t>
  </si>
  <si>
    <t>Richard Bago</t>
  </si>
  <si>
    <t>Edwin Jenkins</t>
  </si>
  <si>
    <t>Tom MacpPherson</t>
  </si>
  <si>
    <t>Jon Phillips</t>
  </si>
  <si>
    <t>John Bennett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</si>
</sst>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BMFA L1 Long Mynd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28 March 2004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75" workbookViewId="0" topLeftCell="A1">
      <pane xSplit="14" ySplit="10" topLeftCell="Q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C14" sqref="C14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0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1</v>
      </c>
      <c r="P1" s="25"/>
      <c r="Q1" s="6"/>
      <c r="R1" s="7"/>
      <c r="S1" s="7"/>
      <c r="T1" s="7" t="s">
        <v>2</v>
      </c>
      <c r="U1" s="7"/>
      <c r="V1" s="8"/>
      <c r="W1" s="8"/>
      <c r="X1" s="8"/>
      <c r="Y1" s="9"/>
      <c r="Z1" s="219" t="s">
        <v>3</v>
      </c>
      <c r="AA1" s="25"/>
      <c r="AB1" s="6"/>
      <c r="AC1" s="7"/>
      <c r="AD1" s="7"/>
      <c r="AE1" s="7" t="s">
        <v>2</v>
      </c>
      <c r="AF1" s="7"/>
      <c r="AG1" s="8"/>
      <c r="AH1" s="8"/>
      <c r="AI1" s="8"/>
      <c r="AJ1" s="9"/>
      <c r="AK1" s="24" t="s">
        <v>4</v>
      </c>
      <c r="AL1" s="25"/>
      <c r="AM1" s="6"/>
      <c r="AN1" s="7"/>
      <c r="AO1" s="7"/>
      <c r="AP1" s="7" t="s">
        <v>2</v>
      </c>
      <c r="AQ1" s="7"/>
      <c r="AR1" s="8"/>
      <c r="AS1" s="8"/>
      <c r="AT1" s="8"/>
      <c r="AU1" s="8"/>
      <c r="AV1" s="9"/>
      <c r="AW1" s="24" t="s">
        <v>5</v>
      </c>
      <c r="AX1" s="25"/>
      <c r="AY1" s="6"/>
      <c r="AZ1" s="7"/>
      <c r="BA1" s="7"/>
      <c r="BB1" s="7" t="s">
        <v>2</v>
      </c>
      <c r="BC1" s="7"/>
      <c r="BD1" s="8"/>
      <c r="BE1" s="8"/>
      <c r="BF1" s="8"/>
      <c r="BG1" s="8"/>
      <c r="BH1" s="9"/>
      <c r="BI1" s="24" t="s">
        <v>6</v>
      </c>
      <c r="BJ1" s="25"/>
      <c r="BK1" s="6"/>
      <c r="BL1" s="7"/>
      <c r="BM1" s="7"/>
      <c r="BN1" s="7" t="s">
        <v>2</v>
      </c>
      <c r="BO1" s="7"/>
      <c r="BP1" s="8"/>
      <c r="BQ1" s="8"/>
      <c r="BR1" s="8"/>
      <c r="BS1" s="8"/>
      <c r="BT1" s="9"/>
      <c r="BU1" s="24" t="s">
        <v>7</v>
      </c>
      <c r="BV1" s="25"/>
      <c r="BW1" s="6"/>
      <c r="BX1" s="7"/>
      <c r="BY1" s="7"/>
      <c r="BZ1" s="7" t="s">
        <v>2</v>
      </c>
      <c r="CA1" s="7"/>
      <c r="CB1" s="8"/>
      <c r="CC1" s="8"/>
      <c r="CD1" s="8"/>
      <c r="CE1" s="9"/>
      <c r="CF1" s="9"/>
      <c r="CG1" s="24" t="s">
        <v>8</v>
      </c>
      <c r="CH1" s="25"/>
      <c r="CI1" s="6"/>
      <c r="CJ1" s="7"/>
      <c r="CK1" s="7"/>
      <c r="CL1" s="7" t="s">
        <v>2</v>
      </c>
      <c r="CM1" s="7"/>
      <c r="CN1" s="8"/>
      <c r="CO1" s="8"/>
      <c r="CP1" s="8"/>
      <c r="CQ1" s="9"/>
      <c r="CR1" s="9"/>
      <c r="CS1" s="24" t="s">
        <v>9</v>
      </c>
      <c r="CT1" s="25"/>
      <c r="CU1" s="6"/>
      <c r="CV1" s="7"/>
      <c r="CW1" s="7"/>
      <c r="CX1" s="7" t="s">
        <v>2</v>
      </c>
      <c r="CY1" s="7"/>
      <c r="CZ1" s="8"/>
      <c r="DA1" s="8"/>
      <c r="DB1" s="8"/>
      <c r="DC1" s="9"/>
      <c r="DD1" s="9"/>
      <c r="DE1" s="24" t="s">
        <v>10</v>
      </c>
      <c r="DF1" s="25"/>
      <c r="DG1" s="6"/>
      <c r="DH1" s="7"/>
      <c r="DI1" s="7"/>
      <c r="DJ1" s="7" t="s">
        <v>2</v>
      </c>
      <c r="DK1" s="7"/>
      <c r="DL1" s="8"/>
      <c r="DM1" s="8"/>
      <c r="DN1" s="8"/>
      <c r="DO1" s="9"/>
      <c r="DP1" s="9"/>
      <c r="DQ1" s="24" t="s">
        <v>11</v>
      </c>
      <c r="DR1" s="25"/>
      <c r="DS1" s="6"/>
      <c r="DT1" s="7"/>
      <c r="DU1" s="7"/>
      <c r="DV1" s="7" t="s">
        <v>2</v>
      </c>
      <c r="DW1" s="7"/>
      <c r="DX1" s="8"/>
      <c r="DY1" s="8"/>
      <c r="DZ1" s="8"/>
      <c r="EA1" s="9"/>
      <c r="EB1" s="9"/>
      <c r="EC1" s="24" t="s">
        <v>12</v>
      </c>
      <c r="ED1" s="25"/>
      <c r="EE1" s="6"/>
      <c r="EF1" s="7"/>
      <c r="EG1" s="7"/>
      <c r="EH1" s="7" t="s">
        <v>2</v>
      </c>
      <c r="EI1" s="7"/>
      <c r="EJ1" s="8"/>
      <c r="EK1" s="8"/>
      <c r="EL1" s="8"/>
      <c r="EM1" s="9"/>
      <c r="EN1" s="10"/>
      <c r="EW1" s="242" t="s">
        <v>13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14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14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14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14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14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14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14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14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14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14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14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15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15</v>
      </c>
      <c r="AF3" s="36"/>
      <c r="AG3" s="13"/>
      <c r="AH3" s="13"/>
      <c r="AI3" s="13"/>
      <c r="AJ3" s="14"/>
      <c r="AK3" s="217" t="s">
        <v>16</v>
      </c>
      <c r="AL3" s="34"/>
      <c r="AM3" s="217"/>
      <c r="AN3" s="35"/>
      <c r="AO3" s="35"/>
      <c r="AP3" s="36" t="s">
        <v>15</v>
      </c>
      <c r="AQ3" s="36"/>
      <c r="AR3" s="13"/>
      <c r="AS3" s="13"/>
      <c r="AT3" s="13"/>
      <c r="AU3" s="13"/>
      <c r="AV3" s="14"/>
      <c r="AW3" s="217" t="s">
        <v>16</v>
      </c>
      <c r="AX3" s="34"/>
      <c r="AY3" s="217"/>
      <c r="AZ3" s="35"/>
      <c r="BA3" s="35"/>
      <c r="BB3" s="36" t="s">
        <v>15</v>
      </c>
      <c r="BC3" s="36"/>
      <c r="BD3" s="13"/>
      <c r="BE3" s="13"/>
      <c r="BF3" s="13"/>
      <c r="BG3" s="13"/>
      <c r="BH3" s="14"/>
      <c r="BI3" s="217" t="s">
        <v>16</v>
      </c>
      <c r="BJ3" s="34"/>
      <c r="BK3" s="217"/>
      <c r="BL3" s="35"/>
      <c r="BM3" s="35"/>
      <c r="BN3" s="36" t="s">
        <v>15</v>
      </c>
      <c r="BO3" s="36"/>
      <c r="BP3" s="13"/>
      <c r="BQ3" s="13"/>
      <c r="BR3" s="13"/>
      <c r="BS3" s="13"/>
      <c r="BT3" s="14"/>
      <c r="BU3" s="217" t="s">
        <v>16</v>
      </c>
      <c r="BV3" s="34"/>
      <c r="BW3" s="217"/>
      <c r="BX3" s="35"/>
      <c r="BY3" s="35"/>
      <c r="BZ3" s="36" t="s">
        <v>15</v>
      </c>
      <c r="CA3" s="36"/>
      <c r="CB3" s="13"/>
      <c r="CC3" s="13"/>
      <c r="CD3" s="13"/>
      <c r="CE3" s="14"/>
      <c r="CF3" s="14"/>
      <c r="CG3" s="217" t="s">
        <v>16</v>
      </c>
      <c r="CH3" s="34"/>
      <c r="CI3" s="217"/>
      <c r="CJ3" s="35"/>
      <c r="CK3" s="35"/>
      <c r="CL3" s="36" t="s">
        <v>15</v>
      </c>
      <c r="CM3" s="36"/>
      <c r="CN3" s="13"/>
      <c r="CO3" s="13"/>
      <c r="CP3" s="13"/>
      <c r="CQ3" s="14"/>
      <c r="CR3" s="14"/>
      <c r="CS3" s="217" t="s">
        <v>16</v>
      </c>
      <c r="CT3" s="34"/>
      <c r="CU3" s="217"/>
      <c r="CV3" s="35"/>
      <c r="CW3" s="35"/>
      <c r="CX3" s="36" t="s">
        <v>15</v>
      </c>
      <c r="CY3" s="36"/>
      <c r="CZ3" s="13"/>
      <c r="DA3" s="13"/>
      <c r="DB3" s="13"/>
      <c r="DC3" s="14"/>
      <c r="DD3" s="14"/>
      <c r="DE3" s="217" t="s">
        <v>16</v>
      </c>
      <c r="DF3" s="34"/>
      <c r="DG3" s="217"/>
      <c r="DH3" s="35"/>
      <c r="DI3" s="35"/>
      <c r="DJ3" s="36" t="s">
        <v>15</v>
      </c>
      <c r="DK3" s="36"/>
      <c r="DL3" s="13"/>
      <c r="DM3" s="13"/>
      <c r="DN3" s="13"/>
      <c r="DO3" s="14"/>
      <c r="DP3" s="14"/>
      <c r="DQ3" s="217" t="s">
        <v>16</v>
      </c>
      <c r="DR3" s="34"/>
      <c r="DS3" s="217"/>
      <c r="DT3" s="35"/>
      <c r="DU3" s="35"/>
      <c r="DV3" s="36" t="s">
        <v>15</v>
      </c>
      <c r="DW3" s="36"/>
      <c r="DX3" s="13"/>
      <c r="DY3" s="13"/>
      <c r="DZ3" s="13"/>
      <c r="EA3" s="14"/>
      <c r="EB3" s="14"/>
      <c r="EC3" s="217" t="s">
        <v>16</v>
      </c>
      <c r="ED3" s="34"/>
      <c r="EE3" s="217"/>
      <c r="EF3" s="35"/>
      <c r="EG3" s="35"/>
      <c r="EH3" s="36" t="s">
        <v>15</v>
      </c>
      <c r="EI3" s="36"/>
      <c r="EJ3" s="13"/>
      <c r="EK3" s="13"/>
      <c r="EL3" s="13"/>
      <c r="EM3" s="14"/>
      <c r="EN3" s="3"/>
      <c r="EW3" s="237" t="s">
        <v>17</v>
      </c>
      <c r="EX3" s="238"/>
      <c r="EY3" s="239"/>
      <c r="EZ3" s="240" t="s">
        <v>18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19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50.24 by Mike Evans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60.65</v>
      </c>
      <c r="AC5" s="49">
        <f>IF(AA5,MATCH(AB5,Z11:Z62,0),"")</f>
        <v>23</v>
      </c>
      <c r="AD5" s="49"/>
      <c r="AE5" s="47" t="str">
        <f>IF(AA5,VLOOKUP(MATCH(AB5,Z11:Z62,0),Competitors,3,FALSE),"")</f>
        <v>Mike Evans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56.76</v>
      </c>
      <c r="AN5" s="49">
        <f>IF(AL5,MATCH(AM5,AK11:AK62,0),"")</f>
        <v>25</v>
      </c>
      <c r="AO5" s="49"/>
      <c r="AP5" s="47" t="str">
        <f>IF(AL5,VLOOKUP(MATCH(AM5,AK11:AK62,0),Competitors,3,FALSE),"")</f>
        <v>Jon Phillips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60.55</v>
      </c>
      <c r="AZ5" s="49">
        <f>IF(AX5,MATCH(AY5,AW11:AW62,0),"")</f>
        <v>20</v>
      </c>
      <c r="BA5" s="49"/>
      <c r="BB5" s="47" t="str">
        <f>IF(AX5,VLOOKUP(MATCH(AY5,AW11:AW62,0),Competitors,3,FALSE),"")</f>
        <v>Mark Southall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53.74</v>
      </c>
      <c r="BL5" s="49">
        <f>IF(BJ5,MATCH(BK5,BI11:BI62,0),"")</f>
        <v>3</v>
      </c>
      <c r="BM5" s="49"/>
      <c r="BN5" s="47" t="str">
        <f>IF(BJ5,VLOOKUP(MATCH(BK5,BI11:BI62,0),Competitors,3,FALSE),"")</f>
        <v>John Bennett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50.24</v>
      </c>
      <c r="BX5" s="49">
        <f>IF(BV5,MATCH(BW5,BU11:BU62,0),"")</f>
        <v>23</v>
      </c>
      <c r="BY5" s="49"/>
      <c r="BZ5" s="47" t="str">
        <f>IF(BV5,VLOOKUP(MATCH(BW5,BU11:BU62,0),Competitors,3,FALSE),"")</f>
        <v>Mike Evans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62.79</v>
      </c>
      <c r="CJ5" s="49">
        <f>IF(CH5,MATCH(CI5,CG11:CG62,0),"")</f>
        <v>20</v>
      </c>
      <c r="CK5" s="49"/>
      <c r="CL5" s="47" t="str">
        <f>IF(CH5,VLOOKUP(MATCH(CI5,CG11:CG62,0),Competitors,3,FALSE),"")</f>
        <v>Mark Southall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6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r35c10</v>
      </c>
      <c r="K7" s="29"/>
      <c r="L7" s="29"/>
      <c r="M7" s="29" t="str">
        <f ca="1">"r"&amp;$AA$7&amp;"c"&amp;CELL("col",M7)</f>
        <v>r35c13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r35c19</v>
      </c>
      <c r="T7" s="29"/>
      <c r="U7" s="29"/>
      <c r="V7" s="29"/>
      <c r="W7" s="29" t="str">
        <f ca="1">"r"&amp;$AA$7&amp;"c"&amp;CELL("col",W7)</f>
        <v>r35c23</v>
      </c>
      <c r="X7" s="29"/>
      <c r="Y7" s="29"/>
      <c r="Z7" s="224"/>
      <c r="AA7" s="29">
        <f ca="1">CELL("row",A11)+MATCH(0,EP11:EP62,0)-2</f>
        <v>35</v>
      </c>
      <c r="AB7" s="51"/>
      <c r="AC7" s="37"/>
      <c r="AD7" s="29" t="str">
        <f ca="1">"r"&amp;$AA$7&amp;"c"&amp;CELL("col",AD7)</f>
        <v>r35c30</v>
      </c>
      <c r="AE7" s="29"/>
      <c r="AF7" s="29"/>
      <c r="AG7" s="29"/>
      <c r="AH7" s="29" t="str">
        <f ca="1">"r"&amp;$AA$7&amp;"c"&amp;CELL("col",AH7)</f>
        <v>r35c34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r35c41</v>
      </c>
      <c r="AP7" s="29"/>
      <c r="AQ7" s="29"/>
      <c r="AR7" s="29"/>
      <c r="AS7" s="29"/>
      <c r="AT7" s="29" t="str">
        <f ca="1">"r"&amp;$AA$7&amp;"c"&amp;CELL("col",AT7)</f>
        <v>r35c46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r35c53</v>
      </c>
      <c r="BB7" s="29"/>
      <c r="BC7" s="29"/>
      <c r="BD7" s="29"/>
      <c r="BE7" s="29"/>
      <c r="BF7" s="29" t="str">
        <f ca="1">"r"&amp;$AA$7&amp;"c"&amp;CELL("col",BF7)</f>
        <v>r35c58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r35c65</v>
      </c>
      <c r="BN7" s="29"/>
      <c r="BO7" s="29"/>
      <c r="BP7" s="29"/>
      <c r="BQ7" s="29"/>
      <c r="BR7" s="29" t="str">
        <f ca="1">"r"&amp;$AA$7&amp;"c"&amp;CELL("col",BR7)</f>
        <v>r35c70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r35c77</v>
      </c>
      <c r="BZ7" s="29"/>
      <c r="CA7" s="29"/>
      <c r="CB7" s="29"/>
      <c r="CC7" s="29"/>
      <c r="CD7" s="29" t="str">
        <f ca="1">"r"&amp;$AA$7&amp;"c"&amp;CELL("col",CD7)</f>
        <v>r35c82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r35c89</v>
      </c>
      <c r="CL7" s="29"/>
      <c r="CM7" s="29"/>
      <c r="CN7" s="29"/>
      <c r="CO7" s="29"/>
      <c r="CP7" s="29" t="str">
        <f ca="1">"r"&amp;$AA$7&amp;"c"&amp;CELL("col",CP7)</f>
        <v>r35c94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r35c101</v>
      </c>
      <c r="CX7" s="29"/>
      <c r="CY7" s="29"/>
      <c r="CZ7" s="29"/>
      <c r="DA7" s="29"/>
      <c r="DB7" s="29" t="str">
        <f ca="1">"r"&amp;$AA$7&amp;"c"&amp;CELL("col",DB7)</f>
        <v>r35c106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r35c113</v>
      </c>
      <c r="DJ7" s="29"/>
      <c r="DK7" s="29"/>
      <c r="DL7" s="29"/>
      <c r="DM7" s="29"/>
      <c r="DN7" s="29" t="str">
        <f ca="1">"r"&amp;$AA$7&amp;"c"&amp;CELL("col",DN7)</f>
        <v>r35c118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r35c125</v>
      </c>
      <c r="DV7" s="29"/>
      <c r="DW7" s="29"/>
      <c r="DX7" s="29"/>
      <c r="DY7" s="29"/>
      <c r="DZ7" s="29" t="str">
        <f ca="1">"r"&amp;$AA$7&amp;"c"&amp;CELL("col",DZ7)</f>
        <v>r35c130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r35c137</v>
      </c>
      <c r="EH7" s="29"/>
      <c r="EI7" s="29"/>
      <c r="EJ7" s="29"/>
      <c r="EK7" s="29"/>
      <c r="EL7" s="29" t="str">
        <f ca="1">"r"&amp;$AA$7&amp;"c"&amp;CELL("col",EL7)</f>
        <v>r35c142</v>
      </c>
      <c r="EM7" s="29"/>
      <c r="EN7" s="52"/>
      <c r="FO7" s="26" t="str">
        <f ca="1">"r"&amp;$AA$7&amp;"c"&amp;CELL("col",FO7)</f>
        <v>r35c171</v>
      </c>
      <c r="FV7" s="26" t="str">
        <f ca="1">"r"&amp;$AA$7&amp;"c"&amp;CELL("col",FV7)</f>
        <v>r35c178</v>
      </c>
      <c r="FX7" s="26" t="str">
        <f ca="1">"r"&amp;$AA$7&amp;"c"&amp;CELL("col",FX7)</f>
        <v>r35c180</v>
      </c>
    </row>
    <row r="8" spans="1:188" ht="17.25" customHeight="1">
      <c r="A8" s="214"/>
      <c r="B8" s="215" t="s">
        <v>20</v>
      </c>
      <c r="C8" s="218"/>
      <c r="D8" s="215"/>
      <c r="E8" s="215"/>
      <c r="F8" s="230">
        <v>5</v>
      </c>
      <c r="G8" s="231"/>
      <c r="H8" s="29"/>
      <c r="I8" s="57" t="s">
        <v>21</v>
      </c>
      <c r="J8" s="58"/>
      <c r="K8" s="59"/>
      <c r="L8" s="60" t="s">
        <v>0</v>
      </c>
      <c r="M8" s="61"/>
      <c r="N8" s="131"/>
      <c r="O8" s="62" t="s">
        <v>22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23</v>
      </c>
      <c r="AA8" s="63"/>
      <c r="AB8" s="64"/>
      <c r="AC8" s="65"/>
      <c r="AD8" s="65"/>
      <c r="AE8" s="63"/>
      <c r="AF8" s="63"/>
      <c r="AG8" s="66" t="s">
        <v>24</v>
      </c>
      <c r="AH8" s="67"/>
      <c r="AI8" s="68"/>
      <c r="AJ8" s="63"/>
      <c r="AK8" s="62" t="s">
        <v>25</v>
      </c>
      <c r="AL8" s="63"/>
      <c r="AM8" s="64"/>
      <c r="AN8" s="65"/>
      <c r="AO8" s="65"/>
      <c r="AP8" s="63"/>
      <c r="AQ8" s="63"/>
      <c r="AR8" s="66" t="s">
        <v>24</v>
      </c>
      <c r="AS8" s="67"/>
      <c r="AT8" s="67"/>
      <c r="AU8" s="68"/>
      <c r="AV8" s="63"/>
      <c r="AW8" s="62" t="s">
        <v>26</v>
      </c>
      <c r="AX8" s="63"/>
      <c r="AY8" s="64"/>
      <c r="AZ8" s="65"/>
      <c r="BA8" s="65"/>
      <c r="BB8" s="63"/>
      <c r="BC8" s="63"/>
      <c r="BD8" s="66" t="s">
        <v>24</v>
      </c>
      <c r="BE8" s="67"/>
      <c r="BF8" s="67"/>
      <c r="BG8" s="68"/>
      <c r="BH8" s="63"/>
      <c r="BI8" s="62" t="s">
        <v>27</v>
      </c>
      <c r="BJ8" s="63"/>
      <c r="BK8" s="64"/>
      <c r="BL8" s="65"/>
      <c r="BM8" s="65"/>
      <c r="BN8" s="63"/>
      <c r="BO8" s="63"/>
      <c r="BP8" s="66" t="s">
        <v>24</v>
      </c>
      <c r="BQ8" s="67"/>
      <c r="BR8" s="67"/>
      <c r="BS8" s="68"/>
      <c r="BT8" s="63"/>
      <c r="BU8" s="62" t="s">
        <v>28</v>
      </c>
      <c r="BV8" s="63"/>
      <c r="BW8" s="64"/>
      <c r="BX8" s="65"/>
      <c r="BY8" s="65"/>
      <c r="BZ8" s="63"/>
      <c r="CA8" s="63"/>
      <c r="CB8" s="66" t="s">
        <v>24</v>
      </c>
      <c r="CC8" s="67"/>
      <c r="CD8" s="67"/>
      <c r="CE8" s="68"/>
      <c r="CF8" s="63"/>
      <c r="CG8" s="62" t="s">
        <v>29</v>
      </c>
      <c r="CH8" s="63"/>
      <c r="CI8" s="64"/>
      <c r="CJ8" s="65"/>
      <c r="CK8" s="65"/>
      <c r="CL8" s="63"/>
      <c r="CM8" s="63"/>
      <c r="CN8" s="66" t="s">
        <v>24</v>
      </c>
      <c r="CO8" s="67"/>
      <c r="CP8" s="67"/>
      <c r="CQ8" s="68"/>
      <c r="CR8" s="63"/>
      <c r="CS8" s="62" t="s">
        <v>30</v>
      </c>
      <c r="CT8" s="63"/>
      <c r="CU8" s="64"/>
      <c r="CV8" s="65"/>
      <c r="CW8" s="65"/>
      <c r="CX8" s="63"/>
      <c r="CY8" s="63"/>
      <c r="CZ8" s="66" t="s">
        <v>24</v>
      </c>
      <c r="DA8" s="67"/>
      <c r="DB8" s="67"/>
      <c r="DC8" s="68"/>
      <c r="DD8" s="63"/>
      <c r="DE8" s="62" t="s">
        <v>31</v>
      </c>
      <c r="DF8" s="63"/>
      <c r="DG8" s="64"/>
      <c r="DH8" s="65"/>
      <c r="DI8" s="65"/>
      <c r="DJ8" s="63"/>
      <c r="DK8" s="63"/>
      <c r="DL8" s="66" t="s">
        <v>24</v>
      </c>
      <c r="DM8" s="67"/>
      <c r="DN8" s="67"/>
      <c r="DO8" s="68"/>
      <c r="DP8" s="63"/>
      <c r="DQ8" s="62" t="s">
        <v>32</v>
      </c>
      <c r="DR8" s="63"/>
      <c r="DS8" s="64"/>
      <c r="DT8" s="65"/>
      <c r="DU8" s="65"/>
      <c r="DV8" s="63"/>
      <c r="DW8" s="63"/>
      <c r="DX8" s="66" t="s">
        <v>24</v>
      </c>
      <c r="DY8" s="67"/>
      <c r="DZ8" s="67"/>
      <c r="EA8" s="68"/>
      <c r="EB8" s="63"/>
      <c r="EC8" s="62" t="s">
        <v>33</v>
      </c>
      <c r="ED8" s="63"/>
      <c r="EE8" s="64"/>
      <c r="EF8" s="65"/>
      <c r="EG8" s="65"/>
      <c r="EH8" s="63"/>
      <c r="EI8" s="63"/>
      <c r="EJ8" s="66" t="s">
        <v>24</v>
      </c>
      <c r="EK8" s="67"/>
      <c r="EL8" s="67"/>
      <c r="EM8" s="68"/>
      <c r="EN8" s="69"/>
      <c r="EQ8" s="234" t="s">
        <v>34</v>
      </c>
      <c r="ER8" s="233"/>
      <c r="ES8" s="233"/>
      <c r="ET8" s="233"/>
      <c r="EU8" s="233"/>
      <c r="EV8" s="233"/>
      <c r="EW8" s="233"/>
      <c r="EX8" s="233"/>
      <c r="EY8" s="236"/>
      <c r="EZ8" s="235" t="s">
        <v>35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36</v>
      </c>
      <c r="B10" s="84" t="s">
        <v>37</v>
      </c>
      <c r="C10" s="85" t="s">
        <v>38</v>
      </c>
      <c r="D10" s="85" t="s">
        <v>39</v>
      </c>
      <c r="E10" s="85" t="s">
        <v>40</v>
      </c>
      <c r="F10" s="85" t="s">
        <v>41</v>
      </c>
      <c r="G10" s="85" t="s">
        <v>0</v>
      </c>
      <c r="H10" s="85"/>
      <c r="I10" s="86" t="s">
        <v>42</v>
      </c>
      <c r="J10" s="87"/>
      <c r="K10" s="88" t="s">
        <v>43</v>
      </c>
      <c r="L10" s="86" t="s">
        <v>42</v>
      </c>
      <c r="M10" s="88"/>
      <c r="N10" s="88" t="s">
        <v>43</v>
      </c>
      <c r="O10" s="89" t="s">
        <v>44</v>
      </c>
      <c r="P10" s="89"/>
      <c r="Q10" s="89" t="s">
        <v>45</v>
      </c>
      <c r="R10" s="89" t="s">
        <v>46</v>
      </c>
      <c r="S10" s="84" t="s">
        <v>47</v>
      </c>
      <c r="T10" s="84" t="s">
        <v>48</v>
      </c>
      <c r="U10" s="90"/>
      <c r="V10" s="91"/>
      <c r="W10" s="92"/>
      <c r="X10" s="92"/>
      <c r="Y10" s="93"/>
      <c r="Z10" s="245" t="s">
        <v>44</v>
      </c>
      <c r="AA10" s="89"/>
      <c r="AB10" s="89" t="s">
        <v>45</v>
      </c>
      <c r="AC10" s="89" t="s">
        <v>46</v>
      </c>
      <c r="AD10" s="84" t="s">
        <v>47</v>
      </c>
      <c r="AE10" s="84" t="s">
        <v>49</v>
      </c>
      <c r="AF10" s="90"/>
      <c r="AG10" s="91" t="s">
        <v>50</v>
      </c>
      <c r="AH10" s="92" t="s">
        <v>51</v>
      </c>
      <c r="AI10" s="92" t="s">
        <v>52</v>
      </c>
      <c r="AJ10" s="93"/>
      <c r="AK10" s="89" t="s">
        <v>44</v>
      </c>
      <c r="AL10" s="89"/>
      <c r="AM10" s="89" t="s">
        <v>45</v>
      </c>
      <c r="AN10" s="89" t="s">
        <v>46</v>
      </c>
      <c r="AO10" s="84" t="s">
        <v>47</v>
      </c>
      <c r="AP10" s="84" t="s">
        <v>53</v>
      </c>
      <c r="AQ10" s="90"/>
      <c r="AR10" s="91" t="s">
        <v>50</v>
      </c>
      <c r="AS10" s="92" t="s">
        <v>54</v>
      </c>
      <c r="AT10" s="92" t="s">
        <v>51</v>
      </c>
      <c r="AU10" s="92" t="s">
        <v>55</v>
      </c>
      <c r="AV10" s="93"/>
      <c r="AW10" s="89" t="s">
        <v>44</v>
      </c>
      <c r="AX10" s="89"/>
      <c r="AY10" s="89" t="s">
        <v>45</v>
      </c>
      <c r="AZ10" s="89" t="s">
        <v>46</v>
      </c>
      <c r="BA10" s="84" t="s">
        <v>47</v>
      </c>
      <c r="BB10" s="84" t="s">
        <v>56</v>
      </c>
      <c r="BC10" s="90"/>
      <c r="BD10" s="91" t="s">
        <v>50</v>
      </c>
      <c r="BE10" s="92" t="s">
        <v>54</v>
      </c>
      <c r="BF10" s="92" t="s">
        <v>51</v>
      </c>
      <c r="BG10" s="92" t="s">
        <v>57</v>
      </c>
      <c r="BH10" s="93"/>
      <c r="BI10" s="89" t="s">
        <v>44</v>
      </c>
      <c r="BJ10" s="94"/>
      <c r="BK10" s="89" t="s">
        <v>45</v>
      </c>
      <c r="BL10" s="89" t="s">
        <v>46</v>
      </c>
      <c r="BM10" s="84" t="s">
        <v>47</v>
      </c>
      <c r="BN10" s="84" t="s">
        <v>58</v>
      </c>
      <c r="BO10" s="90"/>
      <c r="BP10" s="91" t="s">
        <v>50</v>
      </c>
      <c r="BQ10" s="92" t="s">
        <v>54</v>
      </c>
      <c r="BR10" s="89" t="s">
        <v>51</v>
      </c>
      <c r="BS10" s="92" t="s">
        <v>59</v>
      </c>
      <c r="BT10" s="93"/>
      <c r="BU10" s="89" t="s">
        <v>44</v>
      </c>
      <c r="BV10" s="94"/>
      <c r="BW10" s="89" t="s">
        <v>45</v>
      </c>
      <c r="BX10" s="89" t="s">
        <v>46</v>
      </c>
      <c r="BY10" s="84" t="s">
        <v>47</v>
      </c>
      <c r="BZ10" s="84" t="s">
        <v>60</v>
      </c>
      <c r="CA10" s="90"/>
      <c r="CB10" s="91" t="s">
        <v>50</v>
      </c>
      <c r="CC10" s="92" t="s">
        <v>54</v>
      </c>
      <c r="CD10" s="95" t="s">
        <v>51</v>
      </c>
      <c r="CE10" s="92" t="s">
        <v>61</v>
      </c>
      <c r="CF10" s="93"/>
      <c r="CG10" s="89" t="s">
        <v>44</v>
      </c>
      <c r="CH10" s="94"/>
      <c r="CI10" s="89" t="s">
        <v>45</v>
      </c>
      <c r="CJ10" s="89" t="s">
        <v>46</v>
      </c>
      <c r="CK10" s="84" t="s">
        <v>47</v>
      </c>
      <c r="CL10" s="84" t="s">
        <v>62</v>
      </c>
      <c r="CM10" s="90"/>
      <c r="CN10" s="91" t="s">
        <v>50</v>
      </c>
      <c r="CO10" s="92" t="s">
        <v>54</v>
      </c>
      <c r="CP10" s="95" t="s">
        <v>51</v>
      </c>
      <c r="CQ10" s="92" t="s">
        <v>63</v>
      </c>
      <c r="CR10" s="93"/>
      <c r="CS10" s="89" t="s">
        <v>44</v>
      </c>
      <c r="CT10" s="94"/>
      <c r="CU10" s="89" t="s">
        <v>45</v>
      </c>
      <c r="CV10" s="89" t="s">
        <v>46</v>
      </c>
      <c r="CW10" s="84" t="s">
        <v>47</v>
      </c>
      <c r="CX10" s="84" t="s">
        <v>64</v>
      </c>
      <c r="CY10" s="90"/>
      <c r="CZ10" s="91" t="s">
        <v>50</v>
      </c>
      <c r="DA10" s="92" t="s">
        <v>54</v>
      </c>
      <c r="DB10" s="95" t="s">
        <v>51</v>
      </c>
      <c r="DC10" s="92" t="s">
        <v>65</v>
      </c>
      <c r="DD10" s="93"/>
      <c r="DE10" s="89" t="s">
        <v>44</v>
      </c>
      <c r="DF10" s="94"/>
      <c r="DG10" s="89" t="s">
        <v>45</v>
      </c>
      <c r="DH10" s="89" t="s">
        <v>46</v>
      </c>
      <c r="DI10" s="84" t="s">
        <v>47</v>
      </c>
      <c r="DJ10" s="84" t="s">
        <v>66</v>
      </c>
      <c r="DK10" s="90"/>
      <c r="DL10" s="91" t="s">
        <v>50</v>
      </c>
      <c r="DM10" s="92" t="s">
        <v>54</v>
      </c>
      <c r="DN10" s="95" t="s">
        <v>51</v>
      </c>
      <c r="DO10" s="92" t="s">
        <v>67</v>
      </c>
      <c r="DP10" s="93"/>
      <c r="DQ10" s="89" t="s">
        <v>44</v>
      </c>
      <c r="DR10" s="94"/>
      <c r="DS10" s="89" t="s">
        <v>45</v>
      </c>
      <c r="DT10" s="89" t="s">
        <v>46</v>
      </c>
      <c r="DU10" s="84" t="s">
        <v>47</v>
      </c>
      <c r="DV10" s="84" t="s">
        <v>68</v>
      </c>
      <c r="DW10" s="90"/>
      <c r="DX10" s="91" t="s">
        <v>50</v>
      </c>
      <c r="DY10" s="92" t="s">
        <v>54</v>
      </c>
      <c r="DZ10" s="95" t="s">
        <v>51</v>
      </c>
      <c r="EA10" s="92" t="s">
        <v>69</v>
      </c>
      <c r="EB10" s="93"/>
      <c r="EC10" s="89" t="s">
        <v>44</v>
      </c>
      <c r="ED10" s="94"/>
      <c r="EE10" s="89" t="s">
        <v>45</v>
      </c>
      <c r="EF10" s="89" t="s">
        <v>46</v>
      </c>
      <c r="EG10" s="84" t="s">
        <v>47</v>
      </c>
      <c r="EH10" s="84" t="s">
        <v>70</v>
      </c>
      <c r="EI10" s="90"/>
      <c r="EJ10" s="91" t="s">
        <v>50</v>
      </c>
      <c r="EK10" s="92" t="s">
        <v>54</v>
      </c>
      <c r="EL10" s="95" t="s">
        <v>51</v>
      </c>
      <c r="EM10" s="92" t="s">
        <v>71</v>
      </c>
      <c r="EN10" s="96"/>
      <c r="EP10" s="97" t="s">
        <v>72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73</v>
      </c>
      <c r="FM10" s="98" t="s">
        <v>74</v>
      </c>
      <c r="FN10" s="98" t="s">
        <v>75</v>
      </c>
      <c r="FO10" s="98" t="s">
        <v>76</v>
      </c>
      <c r="FP10" s="98" t="s">
        <v>77</v>
      </c>
      <c r="FQ10" s="98" t="s">
        <v>73</v>
      </c>
      <c r="FR10" s="98" t="s">
        <v>74</v>
      </c>
      <c r="FS10" s="98" t="s">
        <v>75</v>
      </c>
      <c r="FT10" s="98" t="s">
        <v>78</v>
      </c>
      <c r="FU10" s="98" t="s">
        <v>79</v>
      </c>
      <c r="FV10" s="98" t="s">
        <v>80</v>
      </c>
      <c r="FW10" s="98"/>
      <c r="FX10" s="98" t="s">
        <v>81</v>
      </c>
      <c r="FY10" s="98" t="s">
        <v>82</v>
      </c>
      <c r="FZ10" s="98" t="s">
        <v>83</v>
      </c>
      <c r="GA10" s="98" t="s">
        <v>84</v>
      </c>
      <c r="GB10" s="98"/>
      <c r="GC10" s="98" t="s">
        <v>85</v>
      </c>
      <c r="GD10" s="99" t="s">
        <v>86</v>
      </c>
      <c r="GE10" s="98"/>
      <c r="GF10" s="98"/>
      <c r="GG10" s="100" t="s">
        <v>38</v>
      </c>
      <c r="GH10" s="98" t="s">
        <v>87</v>
      </c>
      <c r="GI10" s="98" t="s">
        <v>87</v>
      </c>
      <c r="GJ10" s="98" t="s">
        <v>87</v>
      </c>
      <c r="GK10" s="98" t="s">
        <v>87</v>
      </c>
      <c r="GL10" s="101" t="s">
        <v>88</v>
      </c>
      <c r="GM10" s="98" t="s">
        <v>89</v>
      </c>
      <c r="GN10" s="98"/>
    </row>
    <row r="11" spans="1:195" ht="12.75">
      <c r="A11" s="16">
        <v>1</v>
      </c>
      <c r="B11" s="17"/>
      <c r="C11" s="18" t="s">
        <v>104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4181.4</v>
      </c>
      <c r="J11" s="30">
        <f>AD11+AO11+BA11+BM11+BY11+CK11+CW11+DI11+DU11+EG11-(MIN(EZ11:FI11)*$EY$2)</f>
        <v>4181.4</v>
      </c>
      <c r="K11" s="139">
        <f ca="1">IF(I11&lt;&gt;"",RANK(I11,J$11:INDIRECT(J$7,FALSE)),"")</f>
        <v>17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91.78</v>
      </c>
      <c r="AA11" s="103">
        <f>IF(Z11,Z11,"")</f>
        <v>91.78</v>
      </c>
      <c r="AB11" s="20"/>
      <c r="AC11" s="104">
        <f>IF(Z11&gt;0,ROUND((1000*AB$5)/Z11,1),IF(Z11="","",0))</f>
        <v>660.8</v>
      </c>
      <c r="AD11" s="104">
        <f>IF(AC11&lt;&gt;"",AC11-AB11,-AB11)</f>
        <v>660.8</v>
      </c>
      <c r="AE11" s="105">
        <f ca="1">IF(OR(Z11&lt;&gt;"",AB11&lt;&gt;""),RANK(AD11,AD$11:INDIRECT(AD$7,FALSE)),"")</f>
        <v>25</v>
      </c>
      <c r="AF11" s="106"/>
      <c r="AG11" s="107">
        <f>IF(OR(Z11&lt;&gt;"",AB11&lt;&gt;""),AD11,"")</f>
        <v>660.8</v>
      </c>
      <c r="AH11" s="107">
        <f>IF(AD11,AD11,0)</f>
        <v>660.8</v>
      </c>
      <c r="AI11" s="108">
        <f ca="1">IF(OR(Z11&lt;&gt;"",AB11&lt;&gt;""),RANK(AH11,AH$11:INDIRECT(AH$7,FALSE)),"")</f>
        <v>25</v>
      </c>
      <c r="AJ11" s="109"/>
      <c r="AK11" s="4">
        <v>63.29</v>
      </c>
      <c r="AL11" s="103">
        <f aca="true" t="shared" si="2" ref="AL11:AL27">IF(AK11,AK11,"")</f>
        <v>63.29</v>
      </c>
      <c r="AM11" s="20"/>
      <c r="AN11" s="104">
        <f>IF(AK11&gt;0,ROUND((1000*AM$5)/AK11,1),IF(AK11="","",0))</f>
        <v>896.8</v>
      </c>
      <c r="AO11" s="104">
        <f>IF(AN11&lt;&gt;"",AN11-AM11,-AM11)</f>
        <v>896.8</v>
      </c>
      <c r="AP11" s="105">
        <f ca="1">IF(OR(AK11&lt;&gt;"",AM11&lt;&gt;""),RANK(AO11,AO$11:INDIRECT(AO$7,FALSE)),"")</f>
        <v>4</v>
      </c>
      <c r="AQ11" s="106"/>
      <c r="AR11" s="107">
        <f aca="true" t="shared" si="3" ref="AR11:AR42">IF(OR(AK11&lt;&gt;"",AM11&lt;&gt;""),AD11+AO11-IF($F$8&lt;3,EQ11,0),"")</f>
        <v>1557.6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1557.6</v>
      </c>
      <c r="AU11" s="108">
        <f ca="1">IF(OR(AK11&lt;&gt;"",AM11&lt;&gt;""),RANK(AT11,AT$11:INDIRECT(AT$7,FALSE)),"")</f>
        <v>21</v>
      </c>
      <c r="AV11" s="109"/>
      <c r="AW11" s="4">
        <v>68.85</v>
      </c>
      <c r="AX11" s="103">
        <f aca="true" t="shared" si="5" ref="AX11:AX26">IF(AW11,AW11,"")</f>
        <v>68.85</v>
      </c>
      <c r="AY11" s="20"/>
      <c r="AZ11" s="104">
        <f>IF(AW11&gt;0,ROUND((1000*AY$5)/AW11,1),IF(AW11="","",0))</f>
        <v>879.4</v>
      </c>
      <c r="BA11" s="104">
        <f>IF(AZ11&lt;&gt;"",AZ11-AY11,-AY11)</f>
        <v>879.4</v>
      </c>
      <c r="BB11" s="105">
        <f ca="1">IF(OR(AW11&lt;&gt;"",AY11&lt;&gt;""),RANK(BA11,BA$11:INDIRECT(BA$7,FALSE)),"")</f>
        <v>11</v>
      </c>
      <c r="BC11" s="106"/>
      <c r="BD11" s="107">
        <f aca="true" t="shared" si="6" ref="BD11:BD42">IF(OR(AW11&lt;&gt;"",AY11&lt;&gt;""),AD11+AO11+BA11-IF($F$8&lt;4,ER11,0),"")</f>
        <v>2437</v>
      </c>
      <c r="BE11" s="110">
        <f>IF(AND($F$8&lt;4,BD11&lt;&gt;""),HLOOKUP(MATCH(ER11,EZ11:FB11,0),Discards,1,FALSE),"")</f>
      </c>
      <c r="BF11" s="107">
        <f>IF(OR(AW11&lt;&gt;"",AY11&lt;&gt;""),BD11,0)</f>
        <v>2437</v>
      </c>
      <c r="BG11" s="108">
        <f ca="1">IF(OR(AW11&lt;&gt;"",AY11&lt;&gt;""),RANK(BF11,BF$11:INDIRECT(BF$7,FALSE)),"")</f>
        <v>18</v>
      </c>
      <c r="BH11" s="109"/>
      <c r="BI11" s="4">
        <v>69.1</v>
      </c>
      <c r="BJ11" s="103">
        <f aca="true" t="shared" si="7" ref="BJ11:BJ26">IF(BI11,BI11,"")</f>
        <v>69.1</v>
      </c>
      <c r="BK11" s="20"/>
      <c r="BL11" s="104">
        <f>IF(BI11&gt;0,ROUND((1000*BK$5)/BI11,1),IF(BI11="","",0))</f>
        <v>777.7</v>
      </c>
      <c r="BM11" s="104">
        <f>IF(BL11&lt;&gt;"",BL11-BK11,-BK11)</f>
        <v>777.7</v>
      </c>
      <c r="BN11" s="105">
        <f ca="1">IF(OR(BI11&lt;&gt;"",BK11&lt;&gt;""),RANK(BM11,BM$11:INDIRECT(BM$7,FALSE)),"")</f>
        <v>20</v>
      </c>
      <c r="BO11" s="106"/>
      <c r="BP11" s="107">
        <f aca="true" t="shared" si="8" ref="BP11:BP42">IF(OR(BI11&lt;&gt;"",BK11&lt;&gt;""),AD11+AO11+BA11+BM11-IF($F$8&lt;5,ES11,0),"")</f>
        <v>3214.7</v>
      </c>
      <c r="BQ11" s="110">
        <f>IF(AND($F$8&lt;5,BP11&lt;&gt;""),HLOOKUP(MATCH(ES11,EZ11:FC11,0),Discards,1,FALSE),"")</f>
      </c>
      <c r="BR11" s="107">
        <f>IF(OR(BI11&lt;&gt;"",BK11&lt;&gt;""),BP11,0)</f>
        <v>3214.7</v>
      </c>
      <c r="BS11" s="108">
        <f ca="1">IF(OR(BI11&lt;&gt;"",BK11&lt;&gt;""),RANK(BR11,BR$11:INDIRECT(BR$7,FALSE)),"")</f>
        <v>20</v>
      </c>
      <c r="BT11" s="109"/>
      <c r="BU11" s="4">
        <v>66.73</v>
      </c>
      <c r="BV11" s="103">
        <f aca="true" t="shared" si="9" ref="BV11:BV26">IF(BU11,BU11,"")</f>
        <v>66.73</v>
      </c>
      <c r="BW11" s="20"/>
      <c r="BX11" s="104">
        <f>IF(BU11&gt;0,ROUND((1000*BW$5)/BU11,1),IF(BU11="","",0))</f>
        <v>752.9</v>
      </c>
      <c r="BY11" s="104">
        <f>IF(BX11&lt;&gt;"",BX11-BW11,-BW11)</f>
        <v>752.9</v>
      </c>
      <c r="BZ11" s="105">
        <f ca="1">IF(OR(BU11&lt;&gt;"",BW11&lt;&gt;""),RANK(BY11,BY$11:INDIRECT(BY$7,FALSE)),"")</f>
        <v>13</v>
      </c>
      <c r="CA11" s="106"/>
      <c r="CB11" s="107">
        <f aca="true" t="shared" si="10" ref="CB11:CB42">IF(OR(BU11&lt;&gt;"",BW11&lt;&gt;""),AD11+AO11+BA11+BM11+BY11-IF($F$8&lt;6,ET11,0),"")</f>
        <v>3306.8</v>
      </c>
      <c r="CC11" s="110">
        <f>IF(AND($F$8&lt;6,CB11&lt;&gt;""),HLOOKUP(MATCH(ET11,EZ11:FD11,0),Discards,1,FALSE),"")</f>
        <v>1</v>
      </c>
      <c r="CD11" s="107">
        <f>IF(OR(BU11&lt;&gt;"",BW11&lt;&gt;""),CB11,0)</f>
        <v>3306.8</v>
      </c>
      <c r="CE11" s="108">
        <f ca="1">IF(OR(BU11&lt;&gt;"",BW11&lt;&gt;""),RANK(CD11,CD$11:INDIRECT(CD$7,FALSE)),"")</f>
        <v>17</v>
      </c>
      <c r="CF11" s="109"/>
      <c r="CG11" s="4">
        <v>71.79</v>
      </c>
      <c r="CH11" s="103">
        <f aca="true" t="shared" si="11" ref="CH11:CH26">IF(CG11,CG11,"")</f>
        <v>71.79</v>
      </c>
      <c r="CI11" s="20"/>
      <c r="CJ11" s="104">
        <f>IF(CG11&gt;0,ROUND((1000*CI$5)/CG11,1),IF(CG11="","",0))</f>
        <v>874.6</v>
      </c>
      <c r="CK11" s="104">
        <f>IF(CJ11&lt;&gt;"",CJ11-CI11,-CI11)</f>
        <v>874.6</v>
      </c>
      <c r="CL11" s="105">
        <f ca="1">IF(OR(CG11&lt;&gt;"",CI11&lt;&gt;""),RANK(CK11,CK$11:INDIRECT(CK$7,FALSE)),"")</f>
        <v>16</v>
      </c>
      <c r="CM11" s="106"/>
      <c r="CN11" s="107">
        <f aca="true" t="shared" si="12" ref="CN11:CN42">IF(OR(CG11&lt;&gt;"",CI11&lt;&gt;""),AD11+AO11+BA11+BM11+BY11+CK11-IF($F$8&lt;7,EU11,0),"")</f>
        <v>4181.4</v>
      </c>
      <c r="CO11" s="110">
        <f>IF(AND($F$8&lt;7,CN11&lt;&gt;""),HLOOKUP(MATCH(EU11,EZ11:FE11,0),Discards,1,FALSE),"")</f>
        <v>1</v>
      </c>
      <c r="CP11" s="107">
        <f>IF(OR(CG11&lt;&gt;"",CI11&lt;&gt;""),CN11,0)</f>
        <v>4181.4</v>
      </c>
      <c r="CQ11" s="108">
        <f ca="1">IF(OR(CG11&lt;&gt;"",CI11&lt;&gt;""),RANK(CP11,CP$11:INDIRECT(CP$7,FALSE)),"")</f>
        <v>17</v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46">IF(C11&lt;&gt;"",1,0)</f>
        <v>1</v>
      </c>
      <c r="EQ11" s="28">
        <f>MIN($EZ11:FA11)</f>
        <v>660.8</v>
      </c>
      <c r="ER11" s="28">
        <f>MIN($EZ11:FB11)</f>
        <v>660.8</v>
      </c>
      <c r="ES11" s="28">
        <f>MIN($EZ11:FC11)</f>
        <v>660.8</v>
      </c>
      <c r="ET11" s="28">
        <f>MIN($EZ11:FD11)</f>
        <v>660.8</v>
      </c>
      <c r="EU11" s="28">
        <f>MIN($EZ11:FE11)</f>
        <v>660.8</v>
      </c>
      <c r="EV11" s="28">
        <f>MIN($EZ11:FF11)</f>
        <v>660.8</v>
      </c>
      <c r="EW11" s="28">
        <f>MIN($EZ11:FG11)</f>
        <v>660.8</v>
      </c>
      <c r="EX11" s="28">
        <f>MIN($EZ11:FH11)</f>
        <v>660.8</v>
      </c>
      <c r="EY11" s="28">
        <f>MIN($EZ11:FI11)</f>
        <v>660.8</v>
      </c>
      <c r="EZ11" s="28">
        <f aca="true" t="shared" si="22" ref="EZ11:EZ42">AC11</f>
        <v>660.8</v>
      </c>
      <c r="FA11" s="28">
        <f aca="true" t="shared" si="23" ref="FA11:FA42">AN11</f>
        <v>896.8</v>
      </c>
      <c r="FB11" s="28">
        <f aca="true" t="shared" si="24" ref="FB11:FB42">AZ11</f>
        <v>879.4</v>
      </c>
      <c r="FC11" s="28">
        <f aca="true" t="shared" si="25" ref="FC11:FC42">BL11</f>
        <v>777.7</v>
      </c>
      <c r="FD11" s="28">
        <f aca="true" t="shared" si="26" ref="FD11:FD42">BX11</f>
        <v>752.9</v>
      </c>
      <c r="FE11" s="28">
        <f aca="true" t="shared" si="27" ref="FE11:FE42">CJ11</f>
        <v>874.6</v>
      </c>
      <c r="FF11" s="28">
        <f aca="true" t="shared" si="28" ref="FF11:FF42">CV11</f>
      </c>
      <c r="FG11" s="28">
        <f aca="true" t="shared" si="29" ref="FG11:FG42">DH11</f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2" ref="FV11:FV46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105</v>
      </c>
      <c r="D12" s="19"/>
      <c r="E12" s="18"/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  <v>4344.599999999999</v>
      </c>
      <c r="J12" s="30">
        <f>AD12+AO12+BA12+BM12+BY12+CK12+CW12+DI12+DU12+EG12-(MIN(EZ12:FI12)*$EY$2)</f>
        <v>4344.599999999999</v>
      </c>
      <c r="K12" s="139">
        <f ca="1">IF(I12&lt;&gt;"",RANK(I12,J$11:INDIRECT(J$7,FALSE)),"")</f>
        <v>11</v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75.6</v>
      </c>
      <c r="AA12" s="103">
        <f aca="true" t="shared" si="42" ref="AA12:AA27">IF(Z12,Z12,"")</f>
        <v>75.6</v>
      </c>
      <c r="AB12" s="20"/>
      <c r="AC12" s="104">
        <f aca="true" t="shared" si="43" ref="AC12:AC27">IF(Z12&gt;0,ROUND((1000*AB$5)/Z12,1),IF(Z12="","",0))</f>
        <v>802.2</v>
      </c>
      <c r="AD12" s="104">
        <f aca="true" t="shared" si="44" ref="AD12:AD27">IF(AC12&lt;&gt;"",AC12-AB12,-AB12)</f>
        <v>802.2</v>
      </c>
      <c r="AE12" s="105">
        <f ca="1">IF(OR(Z12&lt;&gt;"",AB12&lt;&gt;""),RANK(AD12,AD$11:INDIRECT(AD$7,FALSE)),"")</f>
        <v>18</v>
      </c>
      <c r="AF12" s="106"/>
      <c r="AG12" s="107">
        <f aca="true" t="shared" si="45" ref="AG12:AG27">IF(OR(Z12&lt;&gt;"",AB12&lt;&gt;""),AD12,"")</f>
        <v>802.2</v>
      </c>
      <c r="AH12" s="107">
        <f aca="true" t="shared" si="46" ref="AH12:AH27">IF(AD12,AD12,0)</f>
        <v>802.2</v>
      </c>
      <c r="AI12" s="108">
        <f ca="1">IF(OR(Z12&lt;&gt;"",AB12&lt;&gt;""),RANK(AH12,AH$11:INDIRECT(AH$7,FALSE)),"")</f>
        <v>18</v>
      </c>
      <c r="AJ12" s="109"/>
      <c r="AK12" s="4">
        <v>73.9</v>
      </c>
      <c r="AL12" s="103">
        <f t="shared" si="2"/>
        <v>73.9</v>
      </c>
      <c r="AM12" s="20"/>
      <c r="AN12" s="104">
        <f aca="true" t="shared" si="47" ref="AN12:AN27">IF(AK12&gt;0,ROUND((1000*AM$5)/AK12,1),IF(AK12="","",0))</f>
        <v>768.1</v>
      </c>
      <c r="AO12" s="104">
        <f aca="true" t="shared" si="48" ref="AO12:AO27">IF(AN12&lt;&gt;"",AN12-AM12,-AM12)</f>
        <v>768.1</v>
      </c>
      <c r="AP12" s="105">
        <f ca="1">IF(OR(AK12&lt;&gt;"",AM12&lt;&gt;""),RANK(AO12,AO$11:INDIRECT(AO$7,FALSE)),"")</f>
        <v>18</v>
      </c>
      <c r="AQ12" s="106"/>
      <c r="AR12" s="107">
        <f t="shared" si="3"/>
        <v>1570.3000000000002</v>
      </c>
      <c r="AS12" s="110">
        <f>IF(AND($F$8&lt;3,AR12&lt;&gt;""),HLOOKUP(MATCH(EQ12,EZ12:FA12,0),Discards,1,FALSE),"")</f>
      </c>
      <c r="AT12" s="107">
        <f t="shared" si="4"/>
        <v>1570.3000000000002</v>
      </c>
      <c r="AU12" s="108">
        <f ca="1">IF(OR(AK12&lt;&gt;"",AM12&lt;&gt;""),RANK(AT12,AT$11:INDIRECT(AT$7,FALSE)),"")</f>
        <v>19</v>
      </c>
      <c r="AV12" s="109"/>
      <c r="AW12" s="4">
        <v>63.29</v>
      </c>
      <c r="AX12" s="103">
        <f t="shared" si="5"/>
        <v>63.29</v>
      </c>
      <c r="AY12" s="20"/>
      <c r="AZ12" s="104">
        <f aca="true" t="shared" si="49" ref="AZ12:AZ27">IF(AW12&gt;0,ROUND((1000*AY$5)/AW12,1),IF(AW12="","",0))</f>
        <v>956.7</v>
      </c>
      <c r="BA12" s="104">
        <f aca="true" t="shared" si="50" ref="BA12:BA27">IF(AZ12&lt;&gt;"",AZ12-AY12,-AY12)</f>
        <v>956.7</v>
      </c>
      <c r="BB12" s="105">
        <f ca="1">IF(OR(AW12&lt;&gt;"",AY12&lt;&gt;""),RANK(BA12,BA$11:INDIRECT(BA$7,FALSE)),"")</f>
        <v>5</v>
      </c>
      <c r="BC12" s="106"/>
      <c r="BD12" s="107">
        <f t="shared" si="6"/>
        <v>2527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2527</v>
      </c>
      <c r="BG12" s="108">
        <f ca="1">IF(OR(AW12&lt;&gt;"",AY12&lt;&gt;""),RANK(BF12,BF$11:INDIRECT(BF$7,FALSE)),"")</f>
        <v>12</v>
      </c>
      <c r="BH12" s="109"/>
      <c r="BI12" s="4">
        <v>65.56</v>
      </c>
      <c r="BJ12" s="103">
        <f t="shared" si="7"/>
        <v>65.56</v>
      </c>
      <c r="BK12" s="20"/>
      <c r="BL12" s="104">
        <f aca="true" t="shared" si="52" ref="BL12:BL27">IF(BI12&gt;0,ROUND((1000*BK$5)/BI12,1),IF(BI12="","",0))</f>
        <v>819.7</v>
      </c>
      <c r="BM12" s="104">
        <f aca="true" t="shared" si="53" ref="BM12:BM27">IF(BL12&lt;&gt;"",BL12-BK12,-BK12)</f>
        <v>819.7</v>
      </c>
      <c r="BN12" s="105">
        <f ca="1">IF(OR(BI12&lt;&gt;"",BK12&lt;&gt;""),RANK(BM12,BM$11:INDIRECT(BM$7,FALSE)),"")</f>
        <v>16</v>
      </c>
      <c r="BO12" s="106"/>
      <c r="BP12" s="107">
        <f t="shared" si="8"/>
        <v>3346.7</v>
      </c>
      <c r="BQ12" s="110">
        <f>IF(AND($F$8&lt;5,BP12&lt;&gt;""),HLOOKUP(MATCH(ES12,EZ12:FC12,0),Discards,1,FALSE),"")</f>
      </c>
      <c r="BR12" s="107">
        <f aca="true" t="shared" si="54" ref="BR12:BR27">IF(OR(BI12&lt;&gt;"",BK12&lt;&gt;""),BP12,0)</f>
        <v>3346.7</v>
      </c>
      <c r="BS12" s="108">
        <f ca="1">IF(OR(BI12&lt;&gt;"",BK12&lt;&gt;""),RANK(BR12,BR$11:INDIRECT(BR$7,FALSE)),"")</f>
        <v>13</v>
      </c>
      <c r="BT12" s="109"/>
      <c r="BU12" s="4">
        <v>62.81</v>
      </c>
      <c r="BV12" s="103">
        <f t="shared" si="9"/>
        <v>62.81</v>
      </c>
      <c r="BW12" s="20"/>
      <c r="BX12" s="104">
        <f aca="true" t="shared" si="55" ref="BX12:BX27">IF(BU12&gt;0,ROUND((1000*BW$5)/BU12,1),IF(BU12="","",0))</f>
        <v>799.9</v>
      </c>
      <c r="BY12" s="104">
        <f aca="true" t="shared" si="56" ref="BY12:BY27">IF(BX12&lt;&gt;"",BX12-BW12,-BW12)</f>
        <v>799.9</v>
      </c>
      <c r="BZ12" s="105">
        <f ca="1">IF(OR(BU12&lt;&gt;"",BW12&lt;&gt;""),RANK(BY12,BY$11:INDIRECT(BY$7,FALSE)),"")</f>
        <v>9</v>
      </c>
      <c r="CA12" s="106"/>
      <c r="CB12" s="107">
        <f t="shared" si="10"/>
        <v>3378.4999999999995</v>
      </c>
      <c r="CC12" s="110">
        <f>IF(AND($F$8&lt;6,CB12&lt;&gt;""),HLOOKUP(MATCH(ET12,EZ12:FD12,0),Discards,1,FALSE),"")</f>
        <v>2</v>
      </c>
      <c r="CD12" s="107">
        <f aca="true" t="shared" si="57" ref="CD12:CD27">IF(OR(BU12&lt;&gt;"",BW12&lt;&gt;""),CB12,0)</f>
        <v>3378.4999999999995</v>
      </c>
      <c r="CE12" s="108">
        <f ca="1">IF(OR(BU12&lt;&gt;"",BW12&lt;&gt;""),RANK(CD12,CD$11:INDIRECT(CD$7,FALSE)),"")</f>
        <v>13</v>
      </c>
      <c r="CF12" s="109"/>
      <c r="CG12" s="4">
        <v>64.99</v>
      </c>
      <c r="CH12" s="103">
        <f t="shared" si="11"/>
        <v>64.99</v>
      </c>
      <c r="CI12" s="20"/>
      <c r="CJ12" s="104">
        <f aca="true" t="shared" si="58" ref="CJ12:CJ27">IF(CG12&gt;0,ROUND((1000*CI$5)/CG12,1),IF(CG12="","",0))</f>
        <v>966.1</v>
      </c>
      <c r="CK12" s="104">
        <f aca="true" t="shared" si="59" ref="CK12:CK27">IF(CJ12&lt;&gt;"",CJ12-CI12,-CI12)</f>
        <v>966.1</v>
      </c>
      <c r="CL12" s="105">
        <f ca="1">IF(OR(CG12&lt;&gt;"",CI12&lt;&gt;""),RANK(CK12,CK$11:INDIRECT(CK$7,FALSE)),"")</f>
        <v>6</v>
      </c>
      <c r="CM12" s="106"/>
      <c r="CN12" s="107">
        <f t="shared" si="12"/>
        <v>4344.599999999999</v>
      </c>
      <c r="CO12" s="110">
        <f>IF(AND($F$8&lt;7,CN12&lt;&gt;""),HLOOKUP(MATCH(EU12,EZ12:FE12,0),Discards,1,FALSE),"")</f>
        <v>2</v>
      </c>
      <c r="CP12" s="107">
        <f aca="true" t="shared" si="60" ref="CP12:CP27">IF(OR(CG12&lt;&gt;"",CI12&lt;&gt;""),CN12,0)</f>
        <v>4344.599999999999</v>
      </c>
      <c r="CQ12" s="108">
        <f ca="1">IF(OR(CG12&lt;&gt;"",CI12&lt;&gt;""),RANK(CP12,CP$11:INDIRECT(CP$7,FALSE)),"")</f>
        <v>11</v>
      </c>
      <c r="CR12" s="109"/>
      <c r="CS12" s="4"/>
      <c r="CT12" s="103">
        <f t="shared" si="13"/>
      </c>
      <c r="CU12" s="20"/>
      <c r="CV12" s="104">
        <f aca="true" t="shared" si="61" ref="CV12:CV27">IF(CS12&gt;0,ROUND((1000*CU$5)/CS12,1),IF(CS12="","",0))</f>
      </c>
      <c r="CW12" s="104">
        <f aca="true" t="shared" si="62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3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4" ref="DH12:DH27">IF(DE12&gt;0,ROUND((1000*DG$5)/DE12,1),IF(DE12="","",0))</f>
      </c>
      <c r="DI12" s="104">
        <f aca="true" t="shared" si="65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6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768.1</v>
      </c>
      <c r="ER12" s="28">
        <f>MIN($EZ12:FB12)</f>
        <v>768.1</v>
      </c>
      <c r="ES12" s="28">
        <f>MIN($EZ12:FC12)</f>
        <v>768.1</v>
      </c>
      <c r="ET12" s="28">
        <f>MIN($EZ12:FD12)</f>
        <v>768.1</v>
      </c>
      <c r="EU12" s="28">
        <f>MIN($EZ12:FE12)</f>
        <v>768.1</v>
      </c>
      <c r="EV12" s="28">
        <f>MIN($EZ12:FF12)</f>
        <v>768.1</v>
      </c>
      <c r="EW12" s="28">
        <f>MIN($EZ12:FG12)</f>
        <v>768.1</v>
      </c>
      <c r="EX12" s="28">
        <f>MIN($EZ12:FH12)</f>
        <v>768.1</v>
      </c>
      <c r="EY12" s="28">
        <f>MIN($EZ12:FI12)</f>
        <v>768.1</v>
      </c>
      <c r="EZ12" s="28">
        <f t="shared" si="22"/>
        <v>802.2</v>
      </c>
      <c r="FA12" s="28">
        <f t="shared" si="23"/>
        <v>768.1</v>
      </c>
      <c r="FB12" s="28">
        <f t="shared" si="24"/>
        <v>956.7</v>
      </c>
      <c r="FC12" s="28">
        <f t="shared" si="25"/>
        <v>819.7</v>
      </c>
      <c r="FD12" s="28">
        <f t="shared" si="26"/>
        <v>799.9</v>
      </c>
      <c r="FE12" s="28">
        <f t="shared" si="27"/>
        <v>966.1</v>
      </c>
      <c r="FF12" s="28">
        <f t="shared" si="28"/>
      </c>
      <c r="FG12" s="28">
        <f t="shared" si="29"/>
      </c>
      <c r="FH12" s="28">
        <f t="shared" si="30"/>
      </c>
      <c r="FI12" s="28">
        <f t="shared" si="31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2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114</v>
      </c>
      <c r="D13" s="19"/>
      <c r="E13" s="18"/>
      <c r="F13" s="18"/>
      <c r="G13" s="148"/>
      <c r="H13" s="122">
        <f t="shared" si="35"/>
      </c>
      <c r="I13" s="30">
        <f t="shared" si="36"/>
        <v>4681.3</v>
      </c>
      <c r="J13" s="30">
        <f>AD13+AO13+BA13+BM13+BY13+CK13+CW13+DI13+DU13+EG13-(MIN(EZ13:FI13)*$EY$2)</f>
        <v>4681.3</v>
      </c>
      <c r="K13" s="139">
        <f ca="1">IF(I13&lt;&gt;"",RANK(I13,J$11:INDIRECT(J$7,FALSE)),"")</f>
        <v>2</v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78.8</v>
      </c>
      <c r="AA13" s="103">
        <f t="shared" si="42"/>
        <v>78.8</v>
      </c>
      <c r="AB13" s="20"/>
      <c r="AC13" s="104">
        <f t="shared" si="43"/>
        <v>769.7</v>
      </c>
      <c r="AD13" s="104">
        <f t="shared" si="44"/>
        <v>769.7</v>
      </c>
      <c r="AE13" s="105">
        <f ca="1">IF(OR(Z13&lt;&gt;"",AB13&lt;&gt;""),RANK(AD13,AD$11:INDIRECT(AD$7,FALSE)),"")</f>
        <v>20</v>
      </c>
      <c r="AF13" s="106"/>
      <c r="AG13" s="107">
        <f t="shared" si="45"/>
        <v>769.7</v>
      </c>
      <c r="AH13" s="107">
        <f t="shared" si="46"/>
        <v>769.7</v>
      </c>
      <c r="AI13" s="108">
        <f ca="1">IF(OR(Z13&lt;&gt;"",AB13&lt;&gt;""),RANK(AH13,AH$11:INDIRECT(AH$7,FALSE)),"")</f>
        <v>20</v>
      </c>
      <c r="AJ13" s="109"/>
      <c r="AK13" s="4">
        <v>65.4</v>
      </c>
      <c r="AL13" s="103">
        <f t="shared" si="2"/>
        <v>65.4</v>
      </c>
      <c r="AM13" s="20"/>
      <c r="AN13" s="104">
        <f t="shared" si="47"/>
        <v>867.9</v>
      </c>
      <c r="AO13" s="104">
        <f t="shared" si="48"/>
        <v>867.9</v>
      </c>
      <c r="AP13" s="105">
        <f ca="1">IF(OR(AK13&lt;&gt;"",AM13&lt;&gt;""),RANK(AO13,AO$11:INDIRECT(AO$7,FALSE)),"")</f>
        <v>6</v>
      </c>
      <c r="AQ13" s="106"/>
      <c r="AR13" s="107">
        <f t="shared" si="3"/>
        <v>1637.6</v>
      </c>
      <c r="AS13" s="110">
        <f>IF(AND($F$8&lt;3,AR13&lt;&gt;""),HLOOKUP(MATCH(EQ13,EZ13:FA13,0),Discards,1,FALSE),"")</f>
      </c>
      <c r="AT13" s="107">
        <f t="shared" si="4"/>
        <v>1637.6</v>
      </c>
      <c r="AU13" s="108">
        <f ca="1">IF(OR(AK13&lt;&gt;"",AM13&lt;&gt;""),RANK(AT13,AT$11:INDIRECT(AT$7,FALSE)),"")</f>
        <v>14</v>
      </c>
      <c r="AV13" s="109"/>
      <c r="AW13" s="4">
        <v>61.26</v>
      </c>
      <c r="AX13" s="103">
        <f t="shared" si="5"/>
        <v>61.26</v>
      </c>
      <c r="AY13" s="20"/>
      <c r="AZ13" s="104">
        <f t="shared" si="49"/>
        <v>988.4</v>
      </c>
      <c r="BA13" s="104">
        <f t="shared" si="50"/>
        <v>988.4</v>
      </c>
      <c r="BB13" s="105">
        <f ca="1">IF(OR(AW13&lt;&gt;"",AY13&lt;&gt;""),RANK(BA13,BA$11:INDIRECT(BA$7,FALSE)),"")</f>
        <v>2</v>
      </c>
      <c r="BC13" s="106"/>
      <c r="BD13" s="107">
        <f t="shared" si="6"/>
        <v>2626</v>
      </c>
      <c r="BE13" s="110">
        <f>IF(AND($F$8&lt;4,BD13&lt;&gt;""),HLOOKUP(MATCH(ER13,EZ13:FB13,0),Discards,1,FALSE),"")</f>
      </c>
      <c r="BF13" s="107">
        <f t="shared" si="51"/>
        <v>2626</v>
      </c>
      <c r="BG13" s="108">
        <f ca="1">IF(OR(AW13&lt;&gt;"",AY13&lt;&gt;""),RANK(BF13,BF$11:INDIRECT(BF$7,FALSE)),"")</f>
        <v>5</v>
      </c>
      <c r="BH13" s="109"/>
      <c r="BI13" s="4">
        <v>53.74</v>
      </c>
      <c r="BJ13" s="103">
        <f t="shared" si="7"/>
        <v>53.74</v>
      </c>
      <c r="BK13" s="20"/>
      <c r="BL13" s="104">
        <f t="shared" si="52"/>
        <v>1000</v>
      </c>
      <c r="BM13" s="104">
        <f t="shared" si="53"/>
        <v>1000</v>
      </c>
      <c r="BN13" s="105">
        <f ca="1">IF(OR(BI13&lt;&gt;"",BK13&lt;&gt;""),RANK(BM13,BM$11:INDIRECT(BM$7,FALSE)),"")</f>
        <v>1</v>
      </c>
      <c r="BO13" s="106"/>
      <c r="BP13" s="107">
        <f t="shared" si="8"/>
        <v>3626</v>
      </c>
      <c r="BQ13" s="110">
        <f>IF(AND($F$8&lt;5,BP13&lt;&gt;""),HLOOKUP(MATCH(ES13,EZ13:FC13,0),Discards,1,FALSE),"")</f>
      </c>
      <c r="BR13" s="107">
        <f t="shared" si="54"/>
        <v>3626</v>
      </c>
      <c r="BS13" s="108">
        <f ca="1">IF(OR(BI13&lt;&gt;"",BK13&lt;&gt;""),RANK(BR13,BR$11:INDIRECT(BR$7,FALSE)),"")</f>
        <v>3</v>
      </c>
      <c r="BT13" s="109"/>
      <c r="BU13" s="4">
        <v>60.06</v>
      </c>
      <c r="BV13" s="103">
        <f t="shared" si="9"/>
        <v>60.06</v>
      </c>
      <c r="BW13" s="20"/>
      <c r="BX13" s="104">
        <f t="shared" si="55"/>
        <v>836.5</v>
      </c>
      <c r="BY13" s="104">
        <f t="shared" si="56"/>
        <v>836.5</v>
      </c>
      <c r="BZ13" s="105">
        <f ca="1">IF(OR(BU13&lt;&gt;"",BW13&lt;&gt;""),RANK(BY13,BY$11:INDIRECT(BY$7,FALSE)),"")</f>
        <v>4</v>
      </c>
      <c r="CA13" s="106"/>
      <c r="CB13" s="107">
        <f t="shared" si="10"/>
        <v>3692.8</v>
      </c>
      <c r="CC13" s="110">
        <f>IF(AND($F$8&lt;6,CB13&lt;&gt;""),HLOOKUP(MATCH(ET13,EZ13:FD13,0),Discards,1,FALSE),"")</f>
        <v>1</v>
      </c>
      <c r="CD13" s="107">
        <f t="shared" si="57"/>
        <v>3692.8</v>
      </c>
      <c r="CE13" s="108">
        <f ca="1">IF(OR(BU13&lt;&gt;"",BW13&lt;&gt;""),RANK(CD13,CD$11:INDIRECT(CD$7,FALSE)),"")</f>
        <v>2</v>
      </c>
      <c r="CF13" s="109"/>
      <c r="CG13" s="4">
        <v>63.52</v>
      </c>
      <c r="CH13" s="103">
        <f t="shared" si="11"/>
        <v>63.52</v>
      </c>
      <c r="CI13" s="20"/>
      <c r="CJ13" s="104">
        <f t="shared" si="58"/>
        <v>988.5</v>
      </c>
      <c r="CK13" s="104">
        <f t="shared" si="59"/>
        <v>988.5</v>
      </c>
      <c r="CL13" s="105">
        <f ca="1">IF(OR(CG13&lt;&gt;"",CI13&lt;&gt;""),RANK(CK13,CK$11:INDIRECT(CK$7,FALSE)),"")</f>
        <v>2</v>
      </c>
      <c r="CM13" s="106"/>
      <c r="CN13" s="107">
        <f t="shared" si="12"/>
        <v>4681.3</v>
      </c>
      <c r="CO13" s="110">
        <f>IF(AND($F$8&lt;7,CN13&lt;&gt;""),HLOOKUP(MATCH(EU13,EZ13:FE13,0),Discards,1,FALSE),"")</f>
        <v>1</v>
      </c>
      <c r="CP13" s="107">
        <f t="shared" si="60"/>
        <v>4681.3</v>
      </c>
      <c r="CQ13" s="108">
        <f ca="1">IF(OR(CG13&lt;&gt;"",CI13&lt;&gt;""),RANK(CP13,CP$11:INDIRECT(CP$7,FALSE)),"")</f>
        <v>2</v>
      </c>
      <c r="CR13" s="109"/>
      <c r="CS13" s="4"/>
      <c r="CT13" s="103">
        <f t="shared" si="13"/>
      </c>
      <c r="CU13" s="20"/>
      <c r="CV13" s="104">
        <f t="shared" si="61"/>
      </c>
      <c r="CW13" s="104">
        <f t="shared" si="62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3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4"/>
      </c>
      <c r="DI13" s="104">
        <f t="shared" si="65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6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769.7</v>
      </c>
      <c r="ER13" s="28">
        <f>MIN($EZ13:FB13)</f>
        <v>769.7</v>
      </c>
      <c r="ES13" s="28">
        <f>MIN($EZ13:FC13)</f>
        <v>769.7</v>
      </c>
      <c r="ET13" s="28">
        <f>MIN($EZ13:FD13)</f>
        <v>769.7</v>
      </c>
      <c r="EU13" s="28">
        <f>MIN($EZ13:FE13)</f>
        <v>769.7</v>
      </c>
      <c r="EV13" s="28">
        <f>MIN($EZ13:FF13)</f>
        <v>769.7</v>
      </c>
      <c r="EW13" s="28">
        <f>MIN($EZ13:FG13)</f>
        <v>769.7</v>
      </c>
      <c r="EX13" s="28">
        <f>MIN($EZ13:FH13)</f>
        <v>769.7</v>
      </c>
      <c r="EY13" s="28">
        <f>MIN($EZ13:FI13)</f>
        <v>769.7</v>
      </c>
      <c r="EZ13" s="28">
        <f t="shared" si="22"/>
        <v>769.7</v>
      </c>
      <c r="FA13" s="28">
        <f t="shared" si="23"/>
        <v>867.9</v>
      </c>
      <c r="FB13" s="28">
        <f t="shared" si="24"/>
        <v>988.4</v>
      </c>
      <c r="FC13" s="28">
        <f t="shared" si="25"/>
        <v>1000</v>
      </c>
      <c r="FD13" s="28">
        <f t="shared" si="26"/>
        <v>836.5</v>
      </c>
      <c r="FE13" s="28">
        <f t="shared" si="27"/>
        <v>988.5</v>
      </c>
      <c r="FF13" s="28">
        <f t="shared" si="28"/>
      </c>
      <c r="FG13" s="28">
        <f t="shared" si="29"/>
      </c>
      <c r="FH13" s="28">
        <f t="shared" si="30"/>
      </c>
      <c r="FI13" s="28">
        <f t="shared" si="31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2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3"/>
      </c>
      <c r="GD13" s="27">
        <f t="shared" si="34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90</v>
      </c>
      <c r="D14" s="135"/>
      <c r="E14" s="134"/>
      <c r="F14" s="134"/>
      <c r="G14" s="149"/>
      <c r="H14" s="136">
        <f t="shared" si="35"/>
      </c>
      <c r="I14" s="137">
        <f t="shared" si="36"/>
        <v>4462.499999999999</v>
      </c>
      <c r="J14" s="137">
        <f>AD14+AO14+BA14+BM14+BY14+CK14+CW14+DI14+DU14+EG14-(MIN(EZ14:FI14)*$EY$2)</f>
        <v>4462.499999999999</v>
      </c>
      <c r="K14" s="140">
        <f ca="1">IF(I14&lt;&gt;"",RANK(I14,J$11:INDIRECT(J$7,FALSE)),"")</f>
        <v>7</v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72.17</v>
      </c>
      <c r="AA14" s="113">
        <f t="shared" si="42"/>
        <v>72.17</v>
      </c>
      <c r="AB14" s="21"/>
      <c r="AC14" s="114">
        <f t="shared" si="43"/>
        <v>840.4</v>
      </c>
      <c r="AD14" s="114">
        <f t="shared" si="44"/>
        <v>840.4</v>
      </c>
      <c r="AE14" s="115">
        <f ca="1">IF(OR(Z14&lt;&gt;"",AB14&lt;&gt;""),RANK(AD14,AD$11:INDIRECT(AD$7,FALSE)),"")</f>
        <v>14</v>
      </c>
      <c r="AF14" s="116"/>
      <c r="AG14" s="117">
        <f t="shared" si="45"/>
        <v>840.4</v>
      </c>
      <c r="AH14" s="117">
        <f t="shared" si="46"/>
        <v>840.4</v>
      </c>
      <c r="AI14" s="118">
        <f ca="1">IF(OR(Z14&lt;&gt;"",AB14&lt;&gt;""),RANK(AH14,AH$11:INDIRECT(AH$7,FALSE)),"")</f>
        <v>14</v>
      </c>
      <c r="AJ14" s="119"/>
      <c r="AK14" s="5">
        <v>68.73</v>
      </c>
      <c r="AL14" s="113">
        <f t="shared" si="2"/>
        <v>68.73</v>
      </c>
      <c r="AM14" s="21"/>
      <c r="AN14" s="114">
        <f t="shared" si="47"/>
        <v>825.8</v>
      </c>
      <c r="AO14" s="114">
        <f t="shared" si="48"/>
        <v>825.8</v>
      </c>
      <c r="AP14" s="115">
        <f ca="1">IF(OR(AK14&lt;&gt;"",AM14&lt;&gt;""),RANK(AO14,AO$11:INDIRECT(AO$7,FALSE)),"")</f>
        <v>13</v>
      </c>
      <c r="AQ14" s="116"/>
      <c r="AR14" s="117">
        <f t="shared" si="3"/>
        <v>1666.1999999999998</v>
      </c>
      <c r="AS14" s="120">
        <f>IF(AND($F$8&lt;3,AR14&lt;&gt;""),HLOOKUP(MATCH(EQ14,EZ14:FA14,0),Discards,1,FALSE),"")</f>
      </c>
      <c r="AT14" s="117">
        <f t="shared" si="4"/>
        <v>1666.1999999999998</v>
      </c>
      <c r="AU14" s="118">
        <f ca="1">IF(OR(AK14&lt;&gt;"",AM14&lt;&gt;""),RANK(AT14,AT$11:INDIRECT(AT$7,FALSE)),"")</f>
        <v>11</v>
      </c>
      <c r="AV14" s="119"/>
      <c r="AW14" s="5">
        <v>63.48</v>
      </c>
      <c r="AX14" s="113">
        <f t="shared" si="5"/>
        <v>63.48</v>
      </c>
      <c r="AY14" s="21"/>
      <c r="AZ14" s="114">
        <f t="shared" si="49"/>
        <v>953.8</v>
      </c>
      <c r="BA14" s="114">
        <f t="shared" si="50"/>
        <v>953.8</v>
      </c>
      <c r="BB14" s="115">
        <f ca="1">IF(OR(AW14&lt;&gt;"",AY14&lt;&gt;""),RANK(BA14,BA$11:INDIRECT(BA$7,FALSE)),"")</f>
        <v>6</v>
      </c>
      <c r="BC14" s="116"/>
      <c r="BD14" s="117">
        <f t="shared" si="6"/>
        <v>2620</v>
      </c>
      <c r="BE14" s="120">
        <f>IF(AND($F$8&lt;4,BD14&lt;&gt;""),HLOOKUP(MATCH(ER14,EZ14:FB14,0),Discards,1,FALSE),"")</f>
      </c>
      <c r="BF14" s="117">
        <f t="shared" si="51"/>
        <v>2620</v>
      </c>
      <c r="BG14" s="118">
        <f ca="1">IF(OR(AW14&lt;&gt;"",AY14&lt;&gt;""),RANK(BF14,BF$11:INDIRECT(BF$7,FALSE)),"")</f>
        <v>6</v>
      </c>
      <c r="BH14" s="119"/>
      <c r="BI14" s="5">
        <v>57.75</v>
      </c>
      <c r="BJ14" s="113">
        <f t="shared" si="7"/>
        <v>57.75</v>
      </c>
      <c r="BK14" s="21"/>
      <c r="BL14" s="114">
        <f t="shared" si="52"/>
        <v>930.6</v>
      </c>
      <c r="BM14" s="114">
        <f t="shared" si="53"/>
        <v>930.6</v>
      </c>
      <c r="BN14" s="115">
        <f ca="1">IF(OR(BI14&lt;&gt;"",BK14&lt;&gt;""),RANK(BM14,BM$11:INDIRECT(BM$7,FALSE)),"")</f>
        <v>4</v>
      </c>
      <c r="BO14" s="116"/>
      <c r="BP14" s="117">
        <f t="shared" si="8"/>
        <v>3550.6</v>
      </c>
      <c r="BQ14" s="120">
        <f>IF(AND($F$8&lt;5,BP14&lt;&gt;""),HLOOKUP(MATCH(ES14,EZ14:FC14,0),Discards,1,FALSE),"")</f>
      </c>
      <c r="BR14" s="117">
        <f t="shared" si="54"/>
        <v>3550.6</v>
      </c>
      <c r="BS14" s="118">
        <f ca="1">IF(OR(BI14&lt;&gt;"",BK14&lt;&gt;""),RANK(BR14,BR$11:INDIRECT(BR$7,FALSE)),"")</f>
        <v>6</v>
      </c>
      <c r="BT14" s="119"/>
      <c r="BU14" s="5">
        <v>66.87</v>
      </c>
      <c r="BV14" s="113">
        <f t="shared" si="9"/>
        <v>66.87</v>
      </c>
      <c r="BW14" s="21"/>
      <c r="BX14" s="114">
        <f t="shared" si="55"/>
        <v>751.3</v>
      </c>
      <c r="BY14" s="114">
        <f t="shared" si="56"/>
        <v>751.3</v>
      </c>
      <c r="BZ14" s="115">
        <f ca="1">IF(OR(BU14&lt;&gt;"",BW14&lt;&gt;""),RANK(BY14,BY$11:INDIRECT(BY$7,FALSE)),"")</f>
        <v>14</v>
      </c>
      <c r="CA14" s="116"/>
      <c r="CB14" s="117">
        <f t="shared" si="10"/>
        <v>3550.5999999999995</v>
      </c>
      <c r="CC14" s="120">
        <f>IF(AND($F$8&lt;6,CB14&lt;&gt;""),HLOOKUP(MATCH(ET14,EZ14:FD14,0),Discards,1,FALSE),"")</f>
        <v>5</v>
      </c>
      <c r="CD14" s="117">
        <f t="shared" si="57"/>
        <v>3550.5999999999995</v>
      </c>
      <c r="CE14" s="118">
        <f ca="1">IF(OR(BU14&lt;&gt;"",BW14&lt;&gt;""),RANK(CD14,CD$11:INDIRECT(CD$7,FALSE)),"")</f>
        <v>6</v>
      </c>
      <c r="CF14" s="119"/>
      <c r="CG14" s="5">
        <v>68.86</v>
      </c>
      <c r="CH14" s="113">
        <f t="shared" si="11"/>
        <v>68.86</v>
      </c>
      <c r="CI14" s="21"/>
      <c r="CJ14" s="114">
        <f t="shared" si="58"/>
        <v>911.9</v>
      </c>
      <c r="CK14" s="114">
        <f t="shared" si="59"/>
        <v>911.9</v>
      </c>
      <c r="CL14" s="115">
        <f ca="1">IF(OR(CG14&lt;&gt;"",CI14&lt;&gt;""),RANK(CK14,CK$11:INDIRECT(CK$7,FALSE)),"")</f>
        <v>14</v>
      </c>
      <c r="CM14" s="116"/>
      <c r="CN14" s="117">
        <f t="shared" si="12"/>
        <v>4462.499999999999</v>
      </c>
      <c r="CO14" s="120">
        <f>IF(AND($F$8&lt;7,CN14&lt;&gt;""),HLOOKUP(MATCH(EU14,EZ14:FE14,0),Discards,1,FALSE),"")</f>
        <v>5</v>
      </c>
      <c r="CP14" s="117">
        <f t="shared" si="60"/>
        <v>4462.499999999999</v>
      </c>
      <c r="CQ14" s="118">
        <f ca="1">IF(OR(CG14&lt;&gt;"",CI14&lt;&gt;""),RANK(CP14,CP$11:INDIRECT(CP$7,FALSE)),"")</f>
        <v>7</v>
      </c>
      <c r="CR14" s="119"/>
      <c r="CS14" s="5"/>
      <c r="CT14" s="113">
        <f t="shared" si="13"/>
      </c>
      <c r="CU14" s="21"/>
      <c r="CV14" s="114">
        <f t="shared" si="61"/>
      </c>
      <c r="CW14" s="114">
        <f t="shared" si="62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3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4"/>
      </c>
      <c r="DI14" s="114">
        <f t="shared" si="65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6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825.8</v>
      </c>
      <c r="ER14" s="28">
        <f>MIN($EZ14:FB14)</f>
        <v>825.8</v>
      </c>
      <c r="ES14" s="28">
        <f>MIN($EZ14:FC14)</f>
        <v>825.8</v>
      </c>
      <c r="ET14" s="28">
        <f>MIN($EZ14:FD14)</f>
        <v>751.3</v>
      </c>
      <c r="EU14" s="28">
        <f>MIN($EZ14:FE14)</f>
        <v>751.3</v>
      </c>
      <c r="EV14" s="28">
        <f>MIN($EZ14:FF14)</f>
        <v>751.3</v>
      </c>
      <c r="EW14" s="28">
        <f>MIN($EZ14:FG14)</f>
        <v>751.3</v>
      </c>
      <c r="EX14" s="28">
        <f>MIN($EZ14:FH14)</f>
        <v>751.3</v>
      </c>
      <c r="EY14" s="28">
        <f>MIN($EZ14:FI14)</f>
        <v>751.3</v>
      </c>
      <c r="EZ14" s="28">
        <f t="shared" si="22"/>
        <v>840.4</v>
      </c>
      <c r="FA14" s="28">
        <f t="shared" si="23"/>
        <v>825.8</v>
      </c>
      <c r="FB14" s="28">
        <f t="shared" si="24"/>
        <v>953.8</v>
      </c>
      <c r="FC14" s="28">
        <f t="shared" si="25"/>
        <v>930.6</v>
      </c>
      <c r="FD14" s="28">
        <f t="shared" si="26"/>
        <v>751.3</v>
      </c>
      <c r="FE14" s="28">
        <f t="shared" si="27"/>
        <v>911.9</v>
      </c>
      <c r="FF14" s="28">
        <f t="shared" si="28"/>
      </c>
      <c r="FG14" s="28">
        <f t="shared" si="29"/>
      </c>
      <c r="FH14" s="28">
        <f t="shared" si="30"/>
      </c>
      <c r="FI14" s="28">
        <f t="shared" si="31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2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3"/>
      </c>
      <c r="GD14" s="27">
        <f t="shared" si="34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106</v>
      </c>
      <c r="D15" s="135"/>
      <c r="E15" s="134"/>
      <c r="F15" s="134"/>
      <c r="G15" s="149"/>
      <c r="H15" s="136">
        <f t="shared" si="35"/>
      </c>
      <c r="I15" s="137">
        <f t="shared" si="36"/>
        <v>3717.2000000000007</v>
      </c>
      <c r="J15" s="137">
        <f>AD15+AO15+BA15+BM15+BY15+CK15+CW15+DI15+DU15+EG15-(MIN(EZ15:FI15)*$EY$2)</f>
        <v>3717.2000000000007</v>
      </c>
      <c r="K15" s="140">
        <f ca="1">IF(I15&lt;&gt;"",RANK(I15,J$11:INDIRECT(J$7,FALSE)),"")</f>
        <v>25</v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85.92</v>
      </c>
      <c r="AA15" s="113">
        <f t="shared" si="42"/>
        <v>85.92</v>
      </c>
      <c r="AB15" s="21"/>
      <c r="AC15" s="114">
        <f t="shared" si="43"/>
        <v>705.9</v>
      </c>
      <c r="AD15" s="114">
        <f t="shared" si="44"/>
        <v>705.9</v>
      </c>
      <c r="AE15" s="115">
        <f ca="1">IF(OR(Z15&lt;&gt;"",AB15&lt;&gt;""),RANK(AD15,AD$11:INDIRECT(AD$7,FALSE)),"")</f>
        <v>24</v>
      </c>
      <c r="AF15" s="116"/>
      <c r="AG15" s="117">
        <f t="shared" si="45"/>
        <v>705.9</v>
      </c>
      <c r="AH15" s="117">
        <f t="shared" si="46"/>
        <v>705.9</v>
      </c>
      <c r="AI15" s="118">
        <f ca="1">IF(OR(Z15&lt;&gt;"",AB15&lt;&gt;""),RANK(AH15,AH$11:INDIRECT(AH$7,FALSE)),"")</f>
        <v>24</v>
      </c>
      <c r="AJ15" s="119"/>
      <c r="AK15" s="5">
        <v>73.56</v>
      </c>
      <c r="AL15" s="113">
        <f t="shared" si="2"/>
        <v>73.56</v>
      </c>
      <c r="AM15" s="21"/>
      <c r="AN15" s="114">
        <f t="shared" si="47"/>
        <v>771.6</v>
      </c>
      <c r="AO15" s="114">
        <f t="shared" si="48"/>
        <v>771.6</v>
      </c>
      <c r="AP15" s="115">
        <f ca="1">IF(OR(AK15&lt;&gt;"",AM15&lt;&gt;""),RANK(AO15,AO$11:INDIRECT(AO$7,FALSE)),"")</f>
        <v>17</v>
      </c>
      <c r="AQ15" s="116"/>
      <c r="AR15" s="117">
        <f t="shared" si="3"/>
        <v>1477.5</v>
      </c>
      <c r="AS15" s="120">
        <f>IF(AND($F$8&lt;3,AR15&lt;&gt;""),HLOOKUP(MATCH(EQ15,EZ15:FA15,0),Discards,1,FALSE),"")</f>
      </c>
      <c r="AT15" s="117">
        <f t="shared" si="4"/>
        <v>1477.5</v>
      </c>
      <c r="AU15" s="118">
        <f ca="1">IF(OR(AK15&lt;&gt;"",AM15&lt;&gt;""),RANK(AT15,AT$11:INDIRECT(AT$7,FALSE)),"")</f>
        <v>25</v>
      </c>
      <c r="AV15" s="119"/>
      <c r="AW15" s="5">
        <v>84.31</v>
      </c>
      <c r="AX15" s="113">
        <f t="shared" si="5"/>
        <v>84.31</v>
      </c>
      <c r="AY15" s="21"/>
      <c r="AZ15" s="114">
        <f t="shared" si="49"/>
        <v>718.2</v>
      </c>
      <c r="BA15" s="114">
        <f t="shared" si="50"/>
        <v>718.2</v>
      </c>
      <c r="BB15" s="115">
        <f ca="1">IF(OR(AW15&lt;&gt;"",AY15&lt;&gt;""),RANK(BA15,BA$11:INDIRECT(BA$7,FALSE)),"")</f>
        <v>25</v>
      </c>
      <c r="BC15" s="116"/>
      <c r="BD15" s="117">
        <f t="shared" si="6"/>
        <v>2195.7</v>
      </c>
      <c r="BE15" s="120">
        <f>IF(AND($F$8&lt;4,BD15&lt;&gt;""),HLOOKUP(MATCH(ER15,EZ15:FB15,0),Discards,1,FALSE),"")</f>
      </c>
      <c r="BF15" s="117">
        <f t="shared" si="51"/>
        <v>2195.7</v>
      </c>
      <c r="BG15" s="118">
        <f ca="1">IF(OR(AW15&lt;&gt;"",AY15&lt;&gt;""),RANK(BF15,BF$11:INDIRECT(BF$7,FALSE)),"")</f>
        <v>25</v>
      </c>
      <c r="BH15" s="119"/>
      <c r="BI15" s="5">
        <v>69.98</v>
      </c>
      <c r="BJ15" s="113">
        <f t="shared" si="7"/>
        <v>69.98</v>
      </c>
      <c r="BK15" s="21"/>
      <c r="BL15" s="114">
        <f t="shared" si="52"/>
        <v>767.9</v>
      </c>
      <c r="BM15" s="114">
        <f t="shared" si="53"/>
        <v>767.9</v>
      </c>
      <c r="BN15" s="115">
        <f ca="1">IF(OR(BI15&lt;&gt;"",BK15&lt;&gt;""),RANK(BM15,BM$11:INDIRECT(BM$7,FALSE)),"")</f>
        <v>22</v>
      </c>
      <c r="BO15" s="116"/>
      <c r="BP15" s="117">
        <f t="shared" si="8"/>
        <v>2963.6</v>
      </c>
      <c r="BQ15" s="120">
        <f>IF(AND($F$8&lt;5,BP15&lt;&gt;""),HLOOKUP(MATCH(ES15,EZ15:FC15,0),Discards,1,FALSE),"")</f>
      </c>
      <c r="BR15" s="117">
        <f t="shared" si="54"/>
        <v>2963.6</v>
      </c>
      <c r="BS15" s="118">
        <f ca="1">IF(OR(BI15&lt;&gt;"",BK15&lt;&gt;""),RANK(BR15,BR$11:INDIRECT(BR$7,FALSE)),"")</f>
        <v>25</v>
      </c>
      <c r="BT15" s="119"/>
      <c r="BU15" s="5">
        <v>72.84</v>
      </c>
      <c r="BV15" s="113">
        <f t="shared" si="9"/>
        <v>72.84</v>
      </c>
      <c r="BW15" s="21"/>
      <c r="BX15" s="114">
        <f t="shared" si="55"/>
        <v>689.7</v>
      </c>
      <c r="BY15" s="114">
        <f t="shared" si="56"/>
        <v>689.7</v>
      </c>
      <c r="BZ15" s="115">
        <f ca="1">IF(OR(BU15&lt;&gt;"",BW15&lt;&gt;""),RANK(BY15,BY$11:INDIRECT(BY$7,FALSE)),"")</f>
        <v>22</v>
      </c>
      <c r="CA15" s="116"/>
      <c r="CB15" s="117">
        <f t="shared" si="10"/>
        <v>2963.6000000000004</v>
      </c>
      <c r="CC15" s="120">
        <f>IF(AND($F$8&lt;6,CB15&lt;&gt;""),HLOOKUP(MATCH(ET15,EZ15:FD15,0),Discards,1,FALSE),"")</f>
        <v>5</v>
      </c>
      <c r="CD15" s="117">
        <f t="shared" si="57"/>
        <v>2963.6000000000004</v>
      </c>
      <c r="CE15" s="118">
        <f ca="1">IF(OR(BU15&lt;&gt;"",BW15&lt;&gt;""),RANK(CD15,CD$11:INDIRECT(CD$7,FALSE)),"")</f>
        <v>25</v>
      </c>
      <c r="CF15" s="119"/>
      <c r="CG15" s="5">
        <v>83.32</v>
      </c>
      <c r="CH15" s="113">
        <f t="shared" si="11"/>
        <v>83.32</v>
      </c>
      <c r="CI15" s="21"/>
      <c r="CJ15" s="114">
        <f t="shared" si="58"/>
        <v>753.6</v>
      </c>
      <c r="CK15" s="114">
        <f t="shared" si="59"/>
        <v>753.6</v>
      </c>
      <c r="CL15" s="115">
        <f ca="1">IF(OR(CG15&lt;&gt;"",CI15&lt;&gt;""),RANK(CK15,CK$11:INDIRECT(CK$7,FALSE)),"")</f>
        <v>24</v>
      </c>
      <c r="CM15" s="116"/>
      <c r="CN15" s="117">
        <f t="shared" si="12"/>
        <v>3717.2000000000007</v>
      </c>
      <c r="CO15" s="120">
        <f>IF(AND($F$8&lt;7,CN15&lt;&gt;""),HLOOKUP(MATCH(EU15,EZ15:FE15,0),Discards,1,FALSE),"")</f>
        <v>5</v>
      </c>
      <c r="CP15" s="117">
        <f t="shared" si="60"/>
        <v>3717.2000000000007</v>
      </c>
      <c r="CQ15" s="118">
        <f ca="1">IF(OR(CG15&lt;&gt;"",CI15&lt;&gt;""),RANK(CP15,CP$11:INDIRECT(CP$7,FALSE)),"")</f>
        <v>25</v>
      </c>
      <c r="CR15" s="119"/>
      <c r="CS15" s="5"/>
      <c r="CT15" s="113">
        <f t="shared" si="13"/>
      </c>
      <c r="CU15" s="21"/>
      <c r="CV15" s="114">
        <f t="shared" si="61"/>
      </c>
      <c r="CW15" s="114">
        <f t="shared" si="62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3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4"/>
      </c>
      <c r="DI15" s="114">
        <f t="shared" si="65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6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705.9</v>
      </c>
      <c r="ER15" s="28">
        <f>MIN($EZ15:FB15)</f>
        <v>705.9</v>
      </c>
      <c r="ES15" s="28">
        <f>MIN($EZ15:FC15)</f>
        <v>705.9</v>
      </c>
      <c r="ET15" s="28">
        <f>MIN($EZ15:FD15)</f>
        <v>689.7</v>
      </c>
      <c r="EU15" s="28">
        <f>MIN($EZ15:FE15)</f>
        <v>689.7</v>
      </c>
      <c r="EV15" s="28">
        <f>MIN($EZ15:FF15)</f>
        <v>689.7</v>
      </c>
      <c r="EW15" s="28">
        <f>MIN($EZ15:FG15)</f>
        <v>689.7</v>
      </c>
      <c r="EX15" s="28">
        <f>MIN($EZ15:FH15)</f>
        <v>689.7</v>
      </c>
      <c r="EY15" s="28">
        <f>MIN($EZ15:FI15)</f>
        <v>689.7</v>
      </c>
      <c r="EZ15" s="28">
        <f t="shared" si="22"/>
        <v>705.9</v>
      </c>
      <c r="FA15" s="28">
        <f t="shared" si="23"/>
        <v>771.6</v>
      </c>
      <c r="FB15" s="28">
        <f t="shared" si="24"/>
        <v>718.2</v>
      </c>
      <c r="FC15" s="28">
        <f t="shared" si="25"/>
        <v>767.9</v>
      </c>
      <c r="FD15" s="28">
        <f t="shared" si="26"/>
        <v>689.7</v>
      </c>
      <c r="FE15" s="28">
        <f t="shared" si="27"/>
        <v>753.6</v>
      </c>
      <c r="FF15" s="28">
        <f t="shared" si="28"/>
      </c>
      <c r="FG15" s="28">
        <f t="shared" si="29"/>
      </c>
      <c r="FH15" s="28">
        <f t="shared" si="30"/>
      </c>
      <c r="FI15" s="28">
        <f t="shared" si="31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2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3"/>
      </c>
      <c r="GD15" s="27">
        <f t="shared" si="34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91</v>
      </c>
      <c r="D16" s="135"/>
      <c r="E16" s="134"/>
      <c r="F16" s="134"/>
      <c r="G16" s="149"/>
      <c r="H16" s="136">
        <f t="shared" si="35"/>
      </c>
      <c r="I16" s="137">
        <f t="shared" si="36"/>
        <v>4310.4</v>
      </c>
      <c r="J16" s="137">
        <f>AD16+AO16+BA16+BM16+BY16+CK16+CW16+DI16+DU16+EG16-(MIN(EZ16:FI16)*$EY$2)</f>
        <v>4310.4</v>
      </c>
      <c r="K16" s="140">
        <f ca="1">IF(I16&lt;&gt;"",RANK(I16,J$11:INDIRECT(J$7,FALSE)),"")</f>
        <v>14</v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78.85</v>
      </c>
      <c r="AA16" s="113">
        <f t="shared" si="42"/>
        <v>78.85</v>
      </c>
      <c r="AB16" s="21"/>
      <c r="AC16" s="114">
        <f t="shared" si="43"/>
        <v>769.2</v>
      </c>
      <c r="AD16" s="114">
        <f t="shared" si="44"/>
        <v>769.2</v>
      </c>
      <c r="AE16" s="115">
        <f ca="1">IF(OR(Z16&lt;&gt;"",AB16&lt;&gt;""),RANK(AD16,AD$11:INDIRECT(AD$7,FALSE)),"")</f>
        <v>22</v>
      </c>
      <c r="AF16" s="116"/>
      <c r="AG16" s="117">
        <f t="shared" si="45"/>
        <v>769.2</v>
      </c>
      <c r="AH16" s="117">
        <f t="shared" si="46"/>
        <v>769.2</v>
      </c>
      <c r="AI16" s="118">
        <f ca="1">IF(OR(Z16&lt;&gt;"",AB16&lt;&gt;""),RANK(AH16,AH$11:INDIRECT(AH$7,FALSE)),"")</f>
        <v>22</v>
      </c>
      <c r="AJ16" s="119"/>
      <c r="AK16" s="5">
        <v>64.7</v>
      </c>
      <c r="AL16" s="113">
        <f t="shared" si="2"/>
        <v>64.7</v>
      </c>
      <c r="AM16" s="21"/>
      <c r="AN16" s="114">
        <f t="shared" si="47"/>
        <v>877.3</v>
      </c>
      <c r="AO16" s="114">
        <f t="shared" si="48"/>
        <v>877.3</v>
      </c>
      <c r="AP16" s="115">
        <f ca="1">IF(OR(AK16&lt;&gt;"",AM16&lt;&gt;""),RANK(AO16,AO$11:INDIRECT(AO$7,FALSE)),"")</f>
        <v>5</v>
      </c>
      <c r="AQ16" s="116"/>
      <c r="AR16" s="117">
        <f t="shared" si="3"/>
        <v>1646.5</v>
      </c>
      <c r="AS16" s="120">
        <f>IF(AND($F$8&lt;3,AR16&lt;&gt;""),HLOOKUP(MATCH(EQ16,EZ16:FA16,0),Discards,1,FALSE),"")</f>
      </c>
      <c r="AT16" s="117">
        <f t="shared" si="4"/>
        <v>1646.5</v>
      </c>
      <c r="AU16" s="118">
        <f ca="1">IF(OR(AK16&lt;&gt;"",AM16&lt;&gt;""),RANK(AT16,AT$11:INDIRECT(AT$7,FALSE)),"")</f>
        <v>13</v>
      </c>
      <c r="AV16" s="119"/>
      <c r="AW16" s="5">
        <v>74.14</v>
      </c>
      <c r="AX16" s="113">
        <f t="shared" si="5"/>
        <v>74.14</v>
      </c>
      <c r="AY16" s="21"/>
      <c r="AZ16" s="114">
        <f t="shared" si="49"/>
        <v>816.7</v>
      </c>
      <c r="BA16" s="114">
        <f t="shared" si="50"/>
        <v>816.7</v>
      </c>
      <c r="BB16" s="115">
        <f ca="1">IF(OR(AW16&lt;&gt;"",AY16&lt;&gt;""),RANK(BA16,BA$11:INDIRECT(BA$7,FALSE)),"")</f>
        <v>20</v>
      </c>
      <c r="BC16" s="116"/>
      <c r="BD16" s="117">
        <f t="shared" si="6"/>
        <v>2463.2</v>
      </c>
      <c r="BE16" s="120">
        <f>IF(AND($F$8&lt;4,BD16&lt;&gt;""),HLOOKUP(MATCH(ER16,EZ16:FB16,0),Discards,1,FALSE),"")</f>
      </c>
      <c r="BF16" s="117">
        <f t="shared" si="51"/>
        <v>2463.2</v>
      </c>
      <c r="BG16" s="118">
        <f ca="1">IF(OR(AW16&lt;&gt;"",AY16&lt;&gt;""),RANK(BF16,BF$11:INDIRECT(BF$7,FALSE)),"")</f>
        <v>16</v>
      </c>
      <c r="BH16" s="119"/>
      <c r="BI16" s="5">
        <v>61.36</v>
      </c>
      <c r="BJ16" s="113">
        <f t="shared" si="7"/>
        <v>61.36</v>
      </c>
      <c r="BK16" s="21"/>
      <c r="BL16" s="114">
        <f t="shared" si="52"/>
        <v>875.8</v>
      </c>
      <c r="BM16" s="114">
        <f t="shared" si="53"/>
        <v>875.8</v>
      </c>
      <c r="BN16" s="115">
        <f ca="1">IF(OR(BI16&lt;&gt;"",BK16&lt;&gt;""),RANK(BM16,BM$11:INDIRECT(BM$7,FALSE)),"")</f>
        <v>8</v>
      </c>
      <c r="BO16" s="116"/>
      <c r="BP16" s="117">
        <f t="shared" si="8"/>
        <v>3339</v>
      </c>
      <c r="BQ16" s="120">
        <f>IF(AND($F$8&lt;5,BP16&lt;&gt;""),HLOOKUP(MATCH(ES16,EZ16:FC16,0),Discards,1,FALSE),"")</f>
      </c>
      <c r="BR16" s="117">
        <f t="shared" si="54"/>
        <v>3339</v>
      </c>
      <c r="BS16" s="118">
        <f ca="1">IF(OR(BI16&lt;&gt;"",BK16&lt;&gt;""),RANK(BR16,BR$11:INDIRECT(BR$7,FALSE)),"")</f>
        <v>14</v>
      </c>
      <c r="BT16" s="119"/>
      <c r="BU16" s="5">
        <v>64.09</v>
      </c>
      <c r="BV16" s="113">
        <f t="shared" si="9"/>
        <v>64.09</v>
      </c>
      <c r="BW16" s="21"/>
      <c r="BX16" s="114">
        <f t="shared" si="55"/>
        <v>783.9</v>
      </c>
      <c r="BY16" s="114">
        <f t="shared" si="56"/>
        <v>783.9</v>
      </c>
      <c r="BZ16" s="115">
        <f ca="1">IF(OR(BU16&lt;&gt;"",BW16&lt;&gt;""),RANK(BY16,BY$11:INDIRECT(BY$7,FALSE)),"")</f>
        <v>11</v>
      </c>
      <c r="CA16" s="116"/>
      <c r="CB16" s="117">
        <f t="shared" si="10"/>
        <v>3353.7</v>
      </c>
      <c r="CC16" s="120">
        <f>IF(AND($F$8&lt;6,CB16&lt;&gt;""),HLOOKUP(MATCH(ET16,EZ16:FD16,0),Discards,1,FALSE),"")</f>
        <v>1</v>
      </c>
      <c r="CD16" s="117">
        <f t="shared" si="57"/>
        <v>3353.7</v>
      </c>
      <c r="CE16" s="118">
        <f ca="1">IF(OR(BU16&lt;&gt;"",BW16&lt;&gt;""),RANK(CD16,CD$11:INDIRECT(CD$7,FALSE)),"")</f>
        <v>14</v>
      </c>
      <c r="CF16" s="119"/>
      <c r="CG16" s="5">
        <v>65.63</v>
      </c>
      <c r="CH16" s="113">
        <f t="shared" si="11"/>
        <v>65.63</v>
      </c>
      <c r="CI16" s="21"/>
      <c r="CJ16" s="114">
        <f t="shared" si="58"/>
        <v>956.7</v>
      </c>
      <c r="CK16" s="114">
        <f t="shared" si="59"/>
        <v>956.7</v>
      </c>
      <c r="CL16" s="115">
        <f ca="1">IF(OR(CG16&lt;&gt;"",CI16&lt;&gt;""),RANK(CK16,CK$11:INDIRECT(CK$7,FALSE)),"")</f>
        <v>7</v>
      </c>
      <c r="CM16" s="116"/>
      <c r="CN16" s="117">
        <f t="shared" si="12"/>
        <v>4310.4</v>
      </c>
      <c r="CO16" s="120">
        <f>IF(AND($F$8&lt;7,CN16&lt;&gt;""),HLOOKUP(MATCH(EU16,EZ16:FE16,0),Discards,1,FALSE),"")</f>
        <v>1</v>
      </c>
      <c r="CP16" s="117">
        <f t="shared" si="60"/>
        <v>4310.4</v>
      </c>
      <c r="CQ16" s="118">
        <f ca="1">IF(OR(CG16&lt;&gt;"",CI16&lt;&gt;""),RANK(CP16,CP$11:INDIRECT(CP$7,FALSE)),"")</f>
        <v>14</v>
      </c>
      <c r="CR16" s="119"/>
      <c r="CS16" s="5"/>
      <c r="CT16" s="113">
        <f t="shared" si="13"/>
      </c>
      <c r="CU16" s="21"/>
      <c r="CV16" s="114">
        <f t="shared" si="61"/>
      </c>
      <c r="CW16" s="114">
        <f t="shared" si="62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3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4"/>
      </c>
      <c r="DI16" s="114">
        <f t="shared" si="65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6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769.2</v>
      </c>
      <c r="ER16" s="28">
        <f>MIN($EZ16:FB16)</f>
        <v>769.2</v>
      </c>
      <c r="ES16" s="28">
        <f>MIN($EZ16:FC16)</f>
        <v>769.2</v>
      </c>
      <c r="ET16" s="28">
        <f>MIN($EZ16:FD16)</f>
        <v>769.2</v>
      </c>
      <c r="EU16" s="28">
        <f>MIN($EZ16:FE16)</f>
        <v>769.2</v>
      </c>
      <c r="EV16" s="28">
        <f>MIN($EZ16:FF16)</f>
        <v>769.2</v>
      </c>
      <c r="EW16" s="28">
        <f>MIN($EZ16:FG16)</f>
        <v>769.2</v>
      </c>
      <c r="EX16" s="28">
        <f>MIN($EZ16:FH16)</f>
        <v>769.2</v>
      </c>
      <c r="EY16" s="28">
        <f>MIN($EZ16:FI16)</f>
        <v>769.2</v>
      </c>
      <c r="EZ16" s="28">
        <f t="shared" si="22"/>
        <v>769.2</v>
      </c>
      <c r="FA16" s="28">
        <f t="shared" si="23"/>
        <v>877.3</v>
      </c>
      <c r="FB16" s="28">
        <f t="shared" si="24"/>
        <v>816.7</v>
      </c>
      <c r="FC16" s="28">
        <f t="shared" si="25"/>
        <v>875.8</v>
      </c>
      <c r="FD16" s="28">
        <f t="shared" si="26"/>
        <v>783.9</v>
      </c>
      <c r="FE16" s="28">
        <f t="shared" si="27"/>
        <v>956.7</v>
      </c>
      <c r="FF16" s="28">
        <f t="shared" si="28"/>
      </c>
      <c r="FG16" s="28">
        <f t="shared" si="29"/>
      </c>
      <c r="FH16" s="28">
        <f t="shared" si="30"/>
      </c>
      <c r="FI16" s="28">
        <f t="shared" si="31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2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3"/>
      </c>
      <c r="GD16" s="27">
        <f t="shared" si="34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92</v>
      </c>
      <c r="D17" s="19"/>
      <c r="E17" s="18"/>
      <c r="F17" s="18"/>
      <c r="G17" s="148"/>
      <c r="H17" s="122">
        <f t="shared" si="35"/>
      </c>
      <c r="I17" s="30">
        <f t="shared" si="36"/>
        <v>4478.700000000001</v>
      </c>
      <c r="J17" s="30">
        <f>AD17+AO17+BA17+BM17+BY17+CK17+CW17+DI17+DU17+EG17-(MIN(EZ17:FI17)*$EY$2)</f>
        <v>4478.700000000001</v>
      </c>
      <c r="K17" s="139">
        <f ca="1">IF(I17&lt;&gt;"",RANK(I17,J$11:INDIRECT(J$7,FALSE)),"")</f>
        <v>6</v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78.8</v>
      </c>
      <c r="AA17" s="103">
        <f t="shared" si="42"/>
        <v>78.8</v>
      </c>
      <c r="AB17" s="20"/>
      <c r="AC17" s="104">
        <f t="shared" si="43"/>
        <v>769.7</v>
      </c>
      <c r="AD17" s="104">
        <f t="shared" si="44"/>
        <v>769.7</v>
      </c>
      <c r="AE17" s="105">
        <f ca="1">IF(OR(Z17&lt;&gt;"",AB17&lt;&gt;""),RANK(AD17,AD$11:INDIRECT(AD$7,FALSE)),"")</f>
        <v>20</v>
      </c>
      <c r="AF17" s="106"/>
      <c r="AG17" s="107">
        <f t="shared" si="45"/>
        <v>769.7</v>
      </c>
      <c r="AH17" s="107">
        <f t="shared" si="46"/>
        <v>769.7</v>
      </c>
      <c r="AI17" s="108">
        <f ca="1">IF(OR(Z17&lt;&gt;"",AB17&lt;&gt;""),RANK(AH17,AH$11:INDIRECT(AH$7,FALSE)),"")</f>
        <v>20</v>
      </c>
      <c r="AJ17" s="109"/>
      <c r="AK17" s="4">
        <v>59.98</v>
      </c>
      <c r="AL17" s="103">
        <f t="shared" si="2"/>
        <v>59.98</v>
      </c>
      <c r="AM17" s="20"/>
      <c r="AN17" s="104">
        <f t="shared" si="47"/>
        <v>946.3</v>
      </c>
      <c r="AO17" s="104">
        <f t="shared" si="48"/>
        <v>946.3</v>
      </c>
      <c r="AP17" s="105">
        <f ca="1">IF(OR(AK17&lt;&gt;"",AM17&lt;&gt;""),RANK(AO17,AO$11:INDIRECT(AO$7,FALSE)),"")</f>
        <v>2</v>
      </c>
      <c r="AQ17" s="106"/>
      <c r="AR17" s="107">
        <f t="shared" si="3"/>
        <v>1716</v>
      </c>
      <c r="AS17" s="110">
        <f>IF(AND($F$8&lt;3,AR17&lt;&gt;""),HLOOKUP(MATCH(EQ17,EZ17:FA17,0),Discards,1,FALSE),"")</f>
      </c>
      <c r="AT17" s="107">
        <f t="shared" si="4"/>
        <v>1716</v>
      </c>
      <c r="AU17" s="108">
        <f ca="1">IF(OR(AK17&lt;&gt;"",AM17&lt;&gt;""),RANK(AT17,AT$11:INDIRECT(AT$7,FALSE)),"")</f>
        <v>5</v>
      </c>
      <c r="AV17" s="109"/>
      <c r="AW17" s="4">
        <v>76.62</v>
      </c>
      <c r="AX17" s="103">
        <f t="shared" si="5"/>
        <v>76.62</v>
      </c>
      <c r="AY17" s="20"/>
      <c r="AZ17" s="104">
        <f t="shared" si="49"/>
        <v>790.3</v>
      </c>
      <c r="BA17" s="104">
        <f t="shared" si="50"/>
        <v>790.3</v>
      </c>
      <c r="BB17" s="105">
        <f ca="1">IF(OR(AW17&lt;&gt;"",AY17&lt;&gt;""),RANK(BA17,BA$11:INDIRECT(BA$7,FALSE)),"")</f>
        <v>22</v>
      </c>
      <c r="BC17" s="106"/>
      <c r="BD17" s="107">
        <f t="shared" si="6"/>
        <v>2506.3</v>
      </c>
      <c r="BE17" s="110">
        <f>IF(AND($F$8&lt;4,BD17&lt;&gt;""),HLOOKUP(MATCH(ER17,EZ17:FB17,0),Discards,1,FALSE),"")</f>
      </c>
      <c r="BF17" s="107">
        <f t="shared" si="51"/>
        <v>2506.3</v>
      </c>
      <c r="BG17" s="108">
        <f ca="1">IF(OR(AW17&lt;&gt;"",AY17&lt;&gt;""),RANK(BF17,BF$11:INDIRECT(BF$7,FALSE)),"")</f>
        <v>13</v>
      </c>
      <c r="BH17" s="109"/>
      <c r="BI17" s="4">
        <v>56.66</v>
      </c>
      <c r="BJ17" s="103">
        <f t="shared" si="7"/>
        <v>56.66</v>
      </c>
      <c r="BK17" s="20"/>
      <c r="BL17" s="104">
        <f t="shared" si="52"/>
        <v>948.5</v>
      </c>
      <c r="BM17" s="104">
        <f t="shared" si="53"/>
        <v>948.5</v>
      </c>
      <c r="BN17" s="105">
        <f ca="1">IF(OR(BI17&lt;&gt;"",BK17&lt;&gt;""),RANK(BM17,BM$11:INDIRECT(BM$7,FALSE)),"")</f>
        <v>3</v>
      </c>
      <c r="BO17" s="106"/>
      <c r="BP17" s="107">
        <f t="shared" si="8"/>
        <v>3454.8</v>
      </c>
      <c r="BQ17" s="110">
        <f>IF(AND($F$8&lt;5,BP17&lt;&gt;""),HLOOKUP(MATCH(ES17,EZ17:FC17,0),Discards,1,FALSE),"")</f>
      </c>
      <c r="BR17" s="107">
        <f t="shared" si="54"/>
        <v>3454.8</v>
      </c>
      <c r="BS17" s="108">
        <f ca="1">IF(OR(BI17&lt;&gt;"",BK17&lt;&gt;""),RANK(BR17,BR$11:INDIRECT(BR$7,FALSE)),"")</f>
        <v>10</v>
      </c>
      <c r="BT17" s="109"/>
      <c r="BU17" s="4">
        <v>58.93</v>
      </c>
      <c r="BV17" s="103">
        <f t="shared" si="9"/>
        <v>58.93</v>
      </c>
      <c r="BW17" s="20"/>
      <c r="BX17" s="104">
        <f t="shared" si="55"/>
        <v>852.5</v>
      </c>
      <c r="BY17" s="104">
        <f t="shared" si="56"/>
        <v>852.5</v>
      </c>
      <c r="BZ17" s="105">
        <f ca="1">IF(OR(BU17&lt;&gt;"",BW17&lt;&gt;""),RANK(BY17,BY$11:INDIRECT(BY$7,FALSE)),"")</f>
        <v>3</v>
      </c>
      <c r="CA17" s="106"/>
      <c r="CB17" s="107">
        <f t="shared" si="10"/>
        <v>3537.6000000000004</v>
      </c>
      <c r="CC17" s="110">
        <f>IF(AND($F$8&lt;6,CB17&lt;&gt;""),HLOOKUP(MATCH(ET17,EZ17:FD17,0),Discards,1,FALSE),"")</f>
        <v>1</v>
      </c>
      <c r="CD17" s="107">
        <f t="shared" si="57"/>
        <v>3537.6000000000004</v>
      </c>
      <c r="CE17" s="108">
        <f ca="1">IF(OR(BU17&lt;&gt;"",BW17&lt;&gt;""),RANK(CD17,CD$11:INDIRECT(CD$7,FALSE)),"")</f>
        <v>8</v>
      </c>
      <c r="CF17" s="109"/>
      <c r="CG17" s="4">
        <v>66.72</v>
      </c>
      <c r="CH17" s="103">
        <f t="shared" si="11"/>
        <v>66.72</v>
      </c>
      <c r="CI17" s="20"/>
      <c r="CJ17" s="104">
        <f t="shared" si="58"/>
        <v>941.1</v>
      </c>
      <c r="CK17" s="104">
        <f t="shared" si="59"/>
        <v>941.1</v>
      </c>
      <c r="CL17" s="105">
        <f ca="1">IF(OR(CG17&lt;&gt;"",CI17&lt;&gt;""),RANK(CK17,CK$11:INDIRECT(CK$7,FALSE)),"")</f>
        <v>8</v>
      </c>
      <c r="CM17" s="106"/>
      <c r="CN17" s="107">
        <f t="shared" si="12"/>
        <v>4478.700000000001</v>
      </c>
      <c r="CO17" s="110">
        <f>IF(AND($F$8&lt;7,CN17&lt;&gt;""),HLOOKUP(MATCH(EU17,EZ17:FE17,0),Discards,1,FALSE),"")</f>
        <v>1</v>
      </c>
      <c r="CP17" s="107">
        <f t="shared" si="60"/>
        <v>4478.700000000001</v>
      </c>
      <c r="CQ17" s="108">
        <f ca="1">IF(OR(CG17&lt;&gt;"",CI17&lt;&gt;""),RANK(CP17,CP$11:INDIRECT(CP$7,FALSE)),"")</f>
        <v>6</v>
      </c>
      <c r="CR17" s="109"/>
      <c r="CS17" s="4"/>
      <c r="CT17" s="103">
        <f t="shared" si="13"/>
      </c>
      <c r="CU17" s="20"/>
      <c r="CV17" s="104">
        <f t="shared" si="61"/>
      </c>
      <c r="CW17" s="104">
        <f t="shared" si="62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3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769.7</v>
      </c>
      <c r="ER17" s="28">
        <f>MIN($EZ17:FB17)</f>
        <v>769.7</v>
      </c>
      <c r="ES17" s="28">
        <f>MIN($EZ17:FC17)</f>
        <v>769.7</v>
      </c>
      <c r="ET17" s="28">
        <f>MIN($EZ17:FD17)</f>
        <v>769.7</v>
      </c>
      <c r="EU17" s="28">
        <f>MIN($EZ17:FE17)</f>
        <v>769.7</v>
      </c>
      <c r="EV17" s="28">
        <f>MIN($EZ17:FF17)</f>
        <v>769.7</v>
      </c>
      <c r="EW17" s="28">
        <f>MIN($EZ17:FG17)</f>
        <v>769.7</v>
      </c>
      <c r="EX17" s="28">
        <f>MIN($EZ17:FH17)</f>
        <v>769.7</v>
      </c>
      <c r="EY17" s="28">
        <f>MIN($EZ17:FI17)</f>
        <v>769.7</v>
      </c>
      <c r="EZ17" s="28">
        <f t="shared" si="22"/>
        <v>769.7</v>
      </c>
      <c r="FA17" s="28">
        <f t="shared" si="23"/>
        <v>946.3</v>
      </c>
      <c r="FB17" s="28">
        <f t="shared" si="24"/>
        <v>790.3</v>
      </c>
      <c r="FC17" s="28">
        <f t="shared" si="25"/>
        <v>948.5</v>
      </c>
      <c r="FD17" s="28">
        <f t="shared" si="26"/>
        <v>852.5</v>
      </c>
      <c r="FE17" s="28">
        <f t="shared" si="27"/>
        <v>941.1</v>
      </c>
      <c r="FF17" s="28">
        <f t="shared" si="28"/>
      </c>
      <c r="FG17" s="28">
        <f t="shared" si="29"/>
      </c>
      <c r="FH17" s="28">
        <f t="shared" si="30"/>
      </c>
      <c r="FI17" s="28">
        <f t="shared" si="31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2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3"/>
      </c>
      <c r="GD17" s="27">
        <f t="shared" si="34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93</v>
      </c>
      <c r="D18" s="19"/>
      <c r="E18" s="18"/>
      <c r="F18" s="18"/>
      <c r="G18" s="148"/>
      <c r="H18" s="122">
        <f t="shared" si="35"/>
      </c>
      <c r="I18" s="30">
        <f t="shared" si="36"/>
        <v>4510.9</v>
      </c>
      <c r="J18" s="30">
        <f>AD18+AO18+BA18+BM18+BY18+CK18+CW18+DI18+DU18+EG18-(MIN(EZ18:FI18)*$EY$2)</f>
        <v>4510.9</v>
      </c>
      <c r="K18" s="139">
        <f ca="1">IF(I18&lt;&gt;"",RANK(I18,J$11:INDIRECT(J$7,FALSE)),"")</f>
        <v>5</v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70.74</v>
      </c>
      <c r="AA18" s="103">
        <f t="shared" si="42"/>
        <v>70.74</v>
      </c>
      <c r="AB18" s="20"/>
      <c r="AC18" s="104">
        <f t="shared" si="43"/>
        <v>857.4</v>
      </c>
      <c r="AD18" s="104">
        <f t="shared" si="44"/>
        <v>857.4</v>
      </c>
      <c r="AE18" s="105">
        <f ca="1">IF(OR(Z18&lt;&gt;"",AB18&lt;&gt;""),RANK(AD18,AD$11:INDIRECT(AD$7,FALSE)),"")</f>
        <v>13</v>
      </c>
      <c r="AF18" s="106"/>
      <c r="AG18" s="107">
        <f t="shared" si="45"/>
        <v>857.4</v>
      </c>
      <c r="AH18" s="107">
        <f t="shared" si="46"/>
        <v>857.4</v>
      </c>
      <c r="AI18" s="108">
        <f ca="1">IF(OR(Z18&lt;&gt;"",AB18&lt;&gt;""),RANK(AH18,AH$11:INDIRECT(AH$7,FALSE)),"")</f>
        <v>13</v>
      </c>
      <c r="AJ18" s="109"/>
      <c r="AK18" s="4">
        <v>66.5</v>
      </c>
      <c r="AL18" s="103">
        <f t="shared" si="2"/>
        <v>66.5</v>
      </c>
      <c r="AM18" s="20"/>
      <c r="AN18" s="104">
        <f t="shared" si="47"/>
        <v>853.5</v>
      </c>
      <c r="AO18" s="104">
        <f t="shared" si="48"/>
        <v>853.5</v>
      </c>
      <c r="AP18" s="105">
        <f ca="1">IF(OR(AK18&lt;&gt;"",AM18&lt;&gt;""),RANK(AO18,AO$11:INDIRECT(AO$7,FALSE)),"")</f>
        <v>9</v>
      </c>
      <c r="AQ18" s="106"/>
      <c r="AR18" s="107">
        <f t="shared" si="3"/>
        <v>1710.9</v>
      </c>
      <c r="AS18" s="110">
        <f>IF(AND($F$8&lt;3,AR18&lt;&gt;""),HLOOKUP(MATCH(EQ18,EZ18:FA18,0),Discards,1,FALSE),"")</f>
      </c>
      <c r="AT18" s="107">
        <f t="shared" si="4"/>
        <v>1710.9</v>
      </c>
      <c r="AU18" s="108">
        <f ca="1">IF(OR(AK18&lt;&gt;"",AM18&lt;&gt;""),RANK(AT18,AT$11:INDIRECT(AT$7,FALSE)),"")</f>
        <v>6</v>
      </c>
      <c r="AV18" s="109"/>
      <c r="AW18" s="4">
        <v>67.22</v>
      </c>
      <c r="AX18" s="103">
        <f t="shared" si="5"/>
        <v>67.22</v>
      </c>
      <c r="AY18" s="20"/>
      <c r="AZ18" s="104">
        <f t="shared" si="49"/>
        <v>900.8</v>
      </c>
      <c r="BA18" s="104">
        <f t="shared" si="50"/>
        <v>900.8</v>
      </c>
      <c r="BB18" s="105">
        <f ca="1">IF(OR(AW18&lt;&gt;"",AY18&lt;&gt;""),RANK(BA18,BA$11:INDIRECT(BA$7,FALSE)),"")</f>
        <v>10</v>
      </c>
      <c r="BC18" s="106"/>
      <c r="BD18" s="107">
        <f t="shared" si="6"/>
        <v>2611.7</v>
      </c>
      <c r="BE18" s="110">
        <f>IF(AND($F$8&lt;4,BD18&lt;&gt;""),HLOOKUP(MATCH(ER18,EZ18:FB18,0),Discards,1,FALSE),"")</f>
      </c>
      <c r="BF18" s="107">
        <f t="shared" si="51"/>
        <v>2611.7</v>
      </c>
      <c r="BG18" s="108">
        <f ca="1">IF(OR(AW18&lt;&gt;"",AY18&lt;&gt;""),RANK(BF18,BF$11:INDIRECT(BF$7,FALSE)),"")</f>
        <v>9</v>
      </c>
      <c r="BH18" s="109"/>
      <c r="BI18" s="4">
        <v>55.27</v>
      </c>
      <c r="BJ18" s="103">
        <f t="shared" si="7"/>
        <v>55.27</v>
      </c>
      <c r="BK18" s="20"/>
      <c r="BL18" s="104">
        <f t="shared" si="52"/>
        <v>972.3</v>
      </c>
      <c r="BM18" s="104">
        <f t="shared" si="53"/>
        <v>972.3</v>
      </c>
      <c r="BN18" s="105">
        <f ca="1">IF(OR(BI18&lt;&gt;"",BK18&lt;&gt;""),RANK(BM18,BM$11:INDIRECT(BM$7,FALSE)),"")</f>
        <v>2</v>
      </c>
      <c r="BO18" s="106"/>
      <c r="BP18" s="107">
        <f t="shared" si="8"/>
        <v>3584</v>
      </c>
      <c r="BQ18" s="110">
        <f>IF(AND($F$8&lt;5,BP18&lt;&gt;""),HLOOKUP(MATCH(ES18,EZ18:FC18,0),Discards,1,FALSE),"")</f>
      </c>
      <c r="BR18" s="107">
        <f t="shared" si="54"/>
        <v>3584</v>
      </c>
      <c r="BS18" s="108">
        <f ca="1">IF(OR(BI18&lt;&gt;"",BK18&lt;&gt;""),RANK(BR18,BR$11:INDIRECT(BR$7,FALSE)),"")</f>
        <v>4</v>
      </c>
      <c r="BT18" s="109"/>
      <c r="BU18" s="4">
        <v>58.76</v>
      </c>
      <c r="BV18" s="103">
        <f t="shared" si="9"/>
        <v>58.76</v>
      </c>
      <c r="BW18" s="20"/>
      <c r="BX18" s="104">
        <f t="shared" si="55"/>
        <v>855</v>
      </c>
      <c r="BY18" s="104">
        <f t="shared" si="56"/>
        <v>855</v>
      </c>
      <c r="BZ18" s="105">
        <f ca="1">IF(OR(BU18&lt;&gt;"",BW18&lt;&gt;""),RANK(BY18,BY$11:INDIRECT(BY$7,FALSE)),"")</f>
        <v>2</v>
      </c>
      <c r="CA18" s="106"/>
      <c r="CB18" s="107">
        <f t="shared" si="10"/>
        <v>3585.5</v>
      </c>
      <c r="CC18" s="110">
        <f>IF(AND($F$8&lt;6,CB18&lt;&gt;""),HLOOKUP(MATCH(ET18,EZ18:FD18,0),Discards,1,FALSE),"")</f>
        <v>2</v>
      </c>
      <c r="CD18" s="107">
        <f t="shared" si="57"/>
        <v>3585.5</v>
      </c>
      <c r="CE18" s="108">
        <f ca="1">IF(OR(BU18&lt;&gt;"",BW18&lt;&gt;""),RANK(CD18,CD$11:INDIRECT(CD$7,FALSE)),"")</f>
        <v>4</v>
      </c>
      <c r="CF18" s="109"/>
      <c r="CG18" s="4">
        <v>67.85</v>
      </c>
      <c r="CH18" s="103">
        <f t="shared" si="11"/>
        <v>67.85</v>
      </c>
      <c r="CI18" s="20"/>
      <c r="CJ18" s="104">
        <f t="shared" si="58"/>
        <v>925.4</v>
      </c>
      <c r="CK18" s="104">
        <f t="shared" si="59"/>
        <v>925.4</v>
      </c>
      <c r="CL18" s="105">
        <f ca="1">IF(OR(CG18&lt;&gt;"",CI18&lt;&gt;""),RANK(CK18,CK$11:INDIRECT(CK$7,FALSE)),"")</f>
        <v>10</v>
      </c>
      <c r="CM18" s="106"/>
      <c r="CN18" s="107">
        <f t="shared" si="12"/>
        <v>4510.9</v>
      </c>
      <c r="CO18" s="110">
        <f>IF(AND($F$8&lt;7,CN18&lt;&gt;""),HLOOKUP(MATCH(EU18,EZ18:FE18,0),Discards,1,FALSE),"")</f>
        <v>2</v>
      </c>
      <c r="CP18" s="107">
        <f t="shared" si="60"/>
        <v>4510.9</v>
      </c>
      <c r="CQ18" s="108">
        <f ca="1">IF(OR(CG18&lt;&gt;"",CI18&lt;&gt;""),RANK(CP18,CP$11:INDIRECT(CP$7,FALSE)),"")</f>
        <v>5</v>
      </c>
      <c r="CR18" s="109"/>
      <c r="CS18" s="4"/>
      <c r="CT18" s="103">
        <f t="shared" si="13"/>
      </c>
      <c r="CU18" s="20"/>
      <c r="CV18" s="104">
        <f t="shared" si="61"/>
      </c>
      <c r="CW18" s="104">
        <f t="shared" si="62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3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4"/>
      </c>
      <c r="DI18" s="104">
        <f t="shared" si="65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6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t="shared" si="21"/>
        <v>1</v>
      </c>
      <c r="EQ18" s="28">
        <f>MIN($EZ18:FA18)</f>
        <v>853.5</v>
      </c>
      <c r="ER18" s="28">
        <f>MIN($EZ18:FB18)</f>
        <v>853.5</v>
      </c>
      <c r="ES18" s="28">
        <f>MIN($EZ18:FC18)</f>
        <v>853.5</v>
      </c>
      <c r="ET18" s="28">
        <f>MIN($EZ18:FD18)</f>
        <v>853.5</v>
      </c>
      <c r="EU18" s="28">
        <f>MIN($EZ18:FE18)</f>
        <v>853.5</v>
      </c>
      <c r="EV18" s="28">
        <f>MIN($EZ18:FF18)</f>
        <v>853.5</v>
      </c>
      <c r="EW18" s="28">
        <f>MIN($EZ18:FG18)</f>
        <v>853.5</v>
      </c>
      <c r="EX18" s="28">
        <f>MIN($EZ18:FH18)</f>
        <v>853.5</v>
      </c>
      <c r="EY18" s="28">
        <f>MIN($EZ18:FI18)</f>
        <v>853.5</v>
      </c>
      <c r="EZ18" s="28">
        <f t="shared" si="22"/>
        <v>857.4</v>
      </c>
      <c r="FA18" s="28">
        <f t="shared" si="23"/>
        <v>853.5</v>
      </c>
      <c r="FB18" s="28">
        <f t="shared" si="24"/>
        <v>900.8</v>
      </c>
      <c r="FC18" s="28">
        <f t="shared" si="25"/>
        <v>972.3</v>
      </c>
      <c r="FD18" s="28">
        <f t="shared" si="26"/>
        <v>855</v>
      </c>
      <c r="FE18" s="28">
        <f t="shared" si="27"/>
        <v>925.4</v>
      </c>
      <c r="FF18" s="28">
        <f t="shared" si="28"/>
      </c>
      <c r="FG18" s="28">
        <f t="shared" si="29"/>
      </c>
      <c r="FH18" s="28">
        <f t="shared" si="30"/>
      </c>
      <c r="FI18" s="28">
        <f t="shared" si="31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2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3"/>
      </c>
      <c r="GD18" s="27">
        <f t="shared" si="34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94</v>
      </c>
      <c r="D19" s="19"/>
      <c r="E19" s="18"/>
      <c r="F19" s="18"/>
      <c r="G19" s="148"/>
      <c r="H19" s="122">
        <f t="shared" si="35"/>
      </c>
      <c r="I19" s="30">
        <f t="shared" si="36"/>
        <v>4449.9</v>
      </c>
      <c r="J19" s="30">
        <f>AD19+AO19+BA19+BM19+BY19+CK19+CW19+DI19+DU19+EG19-(MIN(EZ19:FI19)*$EY$2)</f>
        <v>4449.9</v>
      </c>
      <c r="K19" s="139">
        <f ca="1">IF(I19&lt;&gt;"",RANK(I19,J$11:INDIRECT(J$7,FALSE)),"")</f>
        <v>9</v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66.73</v>
      </c>
      <c r="AA19" s="103">
        <f t="shared" si="42"/>
        <v>66.73</v>
      </c>
      <c r="AB19" s="20"/>
      <c r="AC19" s="104">
        <f t="shared" si="43"/>
        <v>908.9</v>
      </c>
      <c r="AD19" s="104">
        <f t="shared" si="44"/>
        <v>908.9</v>
      </c>
      <c r="AE19" s="105">
        <f ca="1">IF(OR(Z19&lt;&gt;"",AB19&lt;&gt;""),RANK(AD19,AD$11:INDIRECT(AD$7,FALSE)),"")</f>
        <v>3</v>
      </c>
      <c r="AF19" s="106"/>
      <c r="AG19" s="107">
        <f t="shared" si="45"/>
        <v>908.9</v>
      </c>
      <c r="AH19" s="107">
        <f t="shared" si="46"/>
        <v>908.9</v>
      </c>
      <c r="AI19" s="108">
        <f ca="1">IF(OR(Z19&lt;&gt;"",AB19&lt;&gt;""),RANK(AH19,AH$11:INDIRECT(AH$7,FALSE)),"")</f>
        <v>3</v>
      </c>
      <c r="AJ19" s="109"/>
      <c r="AK19" s="4">
        <v>62.03</v>
      </c>
      <c r="AL19" s="103">
        <f t="shared" si="2"/>
        <v>62.03</v>
      </c>
      <c r="AM19" s="20"/>
      <c r="AN19" s="104">
        <f t="shared" si="47"/>
        <v>915</v>
      </c>
      <c r="AO19" s="104">
        <f t="shared" si="48"/>
        <v>915</v>
      </c>
      <c r="AP19" s="105">
        <f ca="1">IF(OR(AK19&lt;&gt;"",AM19&lt;&gt;""),RANK(AO19,AO$11:INDIRECT(AO$7,FALSE)),"")</f>
        <v>3</v>
      </c>
      <c r="AQ19" s="106"/>
      <c r="AR19" s="107">
        <f t="shared" si="3"/>
        <v>1823.9</v>
      </c>
      <c r="AS19" s="110">
        <f>IF(AND($F$8&lt;3,AR19&lt;&gt;""),HLOOKUP(MATCH(EQ19,EZ19:FA19,0),Discards,1,FALSE),"")</f>
      </c>
      <c r="AT19" s="107">
        <f t="shared" si="4"/>
        <v>1823.9</v>
      </c>
      <c r="AU19" s="108">
        <f ca="1">IF(OR(AK19&lt;&gt;"",AM19&lt;&gt;""),RANK(AT19,AT$11:INDIRECT(AT$7,FALSE)),"")</f>
        <v>3</v>
      </c>
      <c r="AV19" s="109"/>
      <c r="AW19" s="4">
        <v>70.69</v>
      </c>
      <c r="AX19" s="103">
        <f t="shared" si="5"/>
        <v>70.69</v>
      </c>
      <c r="AY19" s="20"/>
      <c r="AZ19" s="104">
        <f t="shared" si="49"/>
        <v>856.6</v>
      </c>
      <c r="BA19" s="104">
        <f t="shared" si="50"/>
        <v>856.6</v>
      </c>
      <c r="BB19" s="105">
        <f ca="1">IF(OR(AW19&lt;&gt;"",AY19&lt;&gt;""),RANK(BA19,BA$11:INDIRECT(BA$7,FALSE)),"")</f>
        <v>16</v>
      </c>
      <c r="BC19" s="106"/>
      <c r="BD19" s="107">
        <f t="shared" si="6"/>
        <v>2680.5</v>
      </c>
      <c r="BE19" s="110">
        <f>IF(AND($F$8&lt;4,BD19&lt;&gt;""),HLOOKUP(MATCH(ER19,EZ19:FB19,0),Discards,1,FALSE),"")</f>
      </c>
      <c r="BF19" s="107">
        <f t="shared" si="51"/>
        <v>2680.5</v>
      </c>
      <c r="BG19" s="108">
        <f ca="1">IF(OR(AW19&lt;&gt;"",AY19&lt;&gt;""),RANK(BF19,BF$11:INDIRECT(BF$7,FALSE)),"")</f>
        <v>4</v>
      </c>
      <c r="BH19" s="109"/>
      <c r="BI19" s="4">
        <v>64.79</v>
      </c>
      <c r="BJ19" s="103">
        <f t="shared" si="7"/>
        <v>64.79</v>
      </c>
      <c r="BK19" s="20"/>
      <c r="BL19" s="104">
        <f t="shared" si="52"/>
        <v>829.4</v>
      </c>
      <c r="BM19" s="104">
        <f t="shared" si="53"/>
        <v>829.4</v>
      </c>
      <c r="BN19" s="105">
        <f ca="1">IF(OR(BI19&lt;&gt;"",BK19&lt;&gt;""),RANK(BM19,BM$11:INDIRECT(BM$7,FALSE)),"")</f>
        <v>15</v>
      </c>
      <c r="BO19" s="106"/>
      <c r="BP19" s="107">
        <f t="shared" si="8"/>
        <v>3509.9</v>
      </c>
      <c r="BQ19" s="110">
        <f>IF(AND($F$8&lt;5,BP19&lt;&gt;""),HLOOKUP(MATCH(ES19,EZ19:FC19,0),Discards,1,FALSE),"")</f>
      </c>
      <c r="BR19" s="107">
        <f t="shared" si="54"/>
        <v>3509.9</v>
      </c>
      <c r="BS19" s="108">
        <f ca="1">IF(OR(BI19&lt;&gt;"",BK19&lt;&gt;""),RANK(BR19,BR$11:INDIRECT(BR$7,FALSE)),"")</f>
        <v>9</v>
      </c>
      <c r="BT19" s="109"/>
      <c r="BU19" s="4">
        <v>61.34</v>
      </c>
      <c r="BV19" s="103">
        <f t="shared" si="9"/>
        <v>61.34</v>
      </c>
      <c r="BW19" s="20"/>
      <c r="BX19" s="104">
        <f t="shared" si="55"/>
        <v>819</v>
      </c>
      <c r="BY19" s="104">
        <f t="shared" si="56"/>
        <v>819</v>
      </c>
      <c r="BZ19" s="105">
        <f ca="1">IF(OR(BU19&lt;&gt;"",BW19&lt;&gt;""),RANK(BY19,BY$11:INDIRECT(BY$7,FALSE)),"")</f>
        <v>5</v>
      </c>
      <c r="CA19" s="106"/>
      <c r="CB19" s="107">
        <f t="shared" si="10"/>
        <v>3509.8999999999996</v>
      </c>
      <c r="CC19" s="110">
        <f>IF(AND($F$8&lt;6,CB19&lt;&gt;""),HLOOKUP(MATCH(ET19,EZ19:FD19,0),Discards,1,FALSE),"")</f>
        <v>5</v>
      </c>
      <c r="CD19" s="107">
        <f t="shared" si="57"/>
        <v>3509.8999999999996</v>
      </c>
      <c r="CE19" s="108">
        <f ca="1">IF(OR(BU19&lt;&gt;"",BW19&lt;&gt;""),RANK(CD19,CD$11:INDIRECT(CD$7,FALSE)),"")</f>
        <v>10</v>
      </c>
      <c r="CF19" s="109"/>
      <c r="CG19" s="4">
        <v>66.8</v>
      </c>
      <c r="CH19" s="103">
        <f t="shared" si="11"/>
        <v>66.8</v>
      </c>
      <c r="CI19" s="20"/>
      <c r="CJ19" s="104">
        <f t="shared" si="58"/>
        <v>940</v>
      </c>
      <c r="CK19" s="104">
        <f t="shared" si="59"/>
        <v>940</v>
      </c>
      <c r="CL19" s="105">
        <f ca="1">IF(OR(CG19&lt;&gt;"",CI19&lt;&gt;""),RANK(CK19,CK$11:INDIRECT(CK$7,FALSE)),"")</f>
        <v>9</v>
      </c>
      <c r="CM19" s="106"/>
      <c r="CN19" s="107">
        <f t="shared" si="12"/>
        <v>4449.9</v>
      </c>
      <c r="CO19" s="110">
        <f>IF(AND($F$8&lt;7,CN19&lt;&gt;""),HLOOKUP(MATCH(EU19,EZ19:FE19,0),Discards,1,FALSE),"")</f>
        <v>5</v>
      </c>
      <c r="CP19" s="107">
        <f t="shared" si="60"/>
        <v>4449.9</v>
      </c>
      <c r="CQ19" s="108">
        <f ca="1">IF(OR(CG19&lt;&gt;"",CI19&lt;&gt;""),RANK(CP19,CP$11:INDIRECT(CP$7,FALSE)),"")</f>
        <v>9</v>
      </c>
      <c r="CR19" s="109"/>
      <c r="CS19" s="4"/>
      <c r="CT19" s="103">
        <f t="shared" si="13"/>
      </c>
      <c r="CU19" s="20"/>
      <c r="CV19" s="104">
        <f t="shared" si="61"/>
      </c>
      <c r="CW19" s="104">
        <f t="shared" si="62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3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4"/>
      </c>
      <c r="DI19" s="104">
        <f t="shared" si="65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6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21"/>
        <v>1</v>
      </c>
      <c r="EQ19" s="28">
        <f>MIN($EZ19:FA19)</f>
        <v>908.9</v>
      </c>
      <c r="ER19" s="28">
        <f>MIN($EZ19:FB19)</f>
        <v>856.6</v>
      </c>
      <c r="ES19" s="28">
        <f>MIN($EZ19:FC19)</f>
        <v>829.4</v>
      </c>
      <c r="ET19" s="28">
        <f>MIN($EZ19:FD19)</f>
        <v>819</v>
      </c>
      <c r="EU19" s="28">
        <f>MIN($EZ19:FE19)</f>
        <v>819</v>
      </c>
      <c r="EV19" s="28">
        <f>MIN($EZ19:FF19)</f>
        <v>819</v>
      </c>
      <c r="EW19" s="28">
        <f>MIN($EZ19:FG19)</f>
        <v>819</v>
      </c>
      <c r="EX19" s="28">
        <f>MIN($EZ19:FH19)</f>
        <v>819</v>
      </c>
      <c r="EY19" s="28">
        <f>MIN($EZ19:FI19)</f>
        <v>819</v>
      </c>
      <c r="EZ19" s="28">
        <f t="shared" si="22"/>
        <v>908.9</v>
      </c>
      <c r="FA19" s="28">
        <f t="shared" si="23"/>
        <v>915</v>
      </c>
      <c r="FB19" s="28">
        <f t="shared" si="24"/>
        <v>856.6</v>
      </c>
      <c r="FC19" s="28">
        <f t="shared" si="25"/>
        <v>829.4</v>
      </c>
      <c r="FD19" s="28">
        <f t="shared" si="26"/>
        <v>819</v>
      </c>
      <c r="FE19" s="28">
        <f t="shared" si="27"/>
        <v>940</v>
      </c>
      <c r="FF19" s="28">
        <f t="shared" si="28"/>
      </c>
      <c r="FG19" s="28">
        <f t="shared" si="29"/>
      </c>
      <c r="FH19" s="28">
        <f t="shared" si="30"/>
      </c>
      <c r="FI19" s="28">
        <f t="shared" si="31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2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3"/>
      </c>
      <c r="GD19" s="27">
        <f t="shared" si="34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107</v>
      </c>
      <c r="D20" s="135"/>
      <c r="E20" s="134"/>
      <c r="F20" s="134"/>
      <c r="G20" s="149"/>
      <c r="H20" s="136">
        <f t="shared" si="35"/>
      </c>
      <c r="I20" s="137">
        <f t="shared" si="36"/>
        <v>4455.6</v>
      </c>
      <c r="J20" s="137">
        <f>AD20+AO20+BA20+BM20+BY20+CK20+CW20+DI20+DU20+EG20-(MIN(EZ20:FI20)*$EY$2)</f>
        <v>4455.6</v>
      </c>
      <c r="K20" s="140">
        <f ca="1">IF(I20&lt;&gt;"",RANK(I20,J$11:INDIRECT(J$7,FALSE)),"")</f>
        <v>8</v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70.39</v>
      </c>
      <c r="AA20" s="113">
        <f t="shared" si="42"/>
        <v>70.39</v>
      </c>
      <c r="AB20" s="21"/>
      <c r="AC20" s="114">
        <f t="shared" si="43"/>
        <v>861.6</v>
      </c>
      <c r="AD20" s="114">
        <f t="shared" si="44"/>
        <v>861.6</v>
      </c>
      <c r="AE20" s="115">
        <f ca="1">IF(OR(Z20&lt;&gt;"",AB20&lt;&gt;""),RANK(AD20,AD$11:INDIRECT(AD$7,FALSE)),"")</f>
        <v>11</v>
      </c>
      <c r="AF20" s="116"/>
      <c r="AG20" s="117">
        <f t="shared" si="45"/>
        <v>861.6</v>
      </c>
      <c r="AH20" s="117">
        <f t="shared" si="46"/>
        <v>861.6</v>
      </c>
      <c r="AI20" s="118">
        <f ca="1">IF(OR(Z20&lt;&gt;"",AB20&lt;&gt;""),RANK(AH20,AH$11:INDIRECT(AH$7,FALSE)),"")</f>
        <v>11</v>
      </c>
      <c r="AJ20" s="119"/>
      <c r="AK20" s="5">
        <v>67.48</v>
      </c>
      <c r="AL20" s="113">
        <f t="shared" si="2"/>
        <v>67.48</v>
      </c>
      <c r="AM20" s="21"/>
      <c r="AN20" s="114">
        <f t="shared" si="47"/>
        <v>841.1</v>
      </c>
      <c r="AO20" s="114">
        <f t="shared" si="48"/>
        <v>841.1</v>
      </c>
      <c r="AP20" s="115">
        <f ca="1">IF(OR(AK20&lt;&gt;"",AM20&lt;&gt;""),RANK(AO20,AO$11:INDIRECT(AO$7,FALSE)),"")</f>
        <v>12</v>
      </c>
      <c r="AQ20" s="116"/>
      <c r="AR20" s="117">
        <f t="shared" si="3"/>
        <v>1702.7</v>
      </c>
      <c r="AS20" s="120">
        <f>IF(AND($F$8&lt;3,AR20&lt;&gt;""),HLOOKUP(MATCH(EQ20,EZ20:FA20,0),Discards,1,FALSE),"")</f>
      </c>
      <c r="AT20" s="117">
        <f t="shared" si="4"/>
        <v>1702.7</v>
      </c>
      <c r="AU20" s="118">
        <f ca="1">IF(OR(AK20&lt;&gt;"",AM20&lt;&gt;""),RANK(AT20,AT$11:INDIRECT(AT$7,FALSE)),"")</f>
        <v>7</v>
      </c>
      <c r="AV20" s="119"/>
      <c r="AW20" s="5">
        <v>66.56</v>
      </c>
      <c r="AX20" s="113">
        <f t="shared" si="5"/>
        <v>66.56</v>
      </c>
      <c r="AY20" s="21"/>
      <c r="AZ20" s="114">
        <f t="shared" si="49"/>
        <v>909.7</v>
      </c>
      <c r="BA20" s="114">
        <f t="shared" si="50"/>
        <v>909.7</v>
      </c>
      <c r="BB20" s="115">
        <f ca="1">IF(OR(AW20&lt;&gt;"",AY20&lt;&gt;""),RANK(BA20,BA$11:INDIRECT(BA$7,FALSE)),"")</f>
        <v>9</v>
      </c>
      <c r="BC20" s="116"/>
      <c r="BD20" s="117">
        <f t="shared" si="6"/>
        <v>2612.4</v>
      </c>
      <c r="BE20" s="120">
        <f>IF(AND($F$8&lt;4,BD20&lt;&gt;""),HLOOKUP(MATCH(ER20,EZ20:FB20,0),Discards,1,FALSE),"")</f>
      </c>
      <c r="BF20" s="117">
        <f t="shared" si="51"/>
        <v>2612.4</v>
      </c>
      <c r="BG20" s="118">
        <f ca="1">IF(OR(AW20&lt;&gt;"",AY20&lt;&gt;""),RANK(BF20,BF$11:INDIRECT(BF$7,FALSE)),"")</f>
        <v>8</v>
      </c>
      <c r="BH20" s="119"/>
      <c r="BI20" s="5">
        <v>58.26</v>
      </c>
      <c r="BJ20" s="113">
        <f t="shared" si="7"/>
        <v>58.26</v>
      </c>
      <c r="BK20" s="21"/>
      <c r="BL20" s="114">
        <f t="shared" si="52"/>
        <v>922.4</v>
      </c>
      <c r="BM20" s="114">
        <f t="shared" si="53"/>
        <v>922.4</v>
      </c>
      <c r="BN20" s="115">
        <f ca="1">IF(OR(BI20&lt;&gt;"",BK20&lt;&gt;""),RANK(BM20,BM$11:INDIRECT(BM$7,FALSE)),"")</f>
        <v>6</v>
      </c>
      <c r="BO20" s="116"/>
      <c r="BP20" s="117">
        <f t="shared" si="8"/>
        <v>3534.8</v>
      </c>
      <c r="BQ20" s="120">
        <f>IF(AND($F$8&lt;5,BP20&lt;&gt;""),HLOOKUP(MATCH(ES20,EZ20:FC20,0),Discards,1,FALSE),"")</f>
      </c>
      <c r="BR20" s="117">
        <f t="shared" si="54"/>
        <v>3534.8</v>
      </c>
      <c r="BS20" s="118">
        <f ca="1">IF(OR(BI20&lt;&gt;"",BK20&lt;&gt;""),RANK(BR20,BR$11:INDIRECT(BR$7,FALSE)),"")</f>
        <v>8</v>
      </c>
      <c r="BT20" s="119"/>
      <c r="BU20" s="5">
        <v>63.72</v>
      </c>
      <c r="BV20" s="113">
        <f t="shared" si="9"/>
        <v>63.72</v>
      </c>
      <c r="BW20" s="21"/>
      <c r="BX20" s="114">
        <f t="shared" si="55"/>
        <v>788.4</v>
      </c>
      <c r="BY20" s="114">
        <f t="shared" si="56"/>
        <v>788.4</v>
      </c>
      <c r="BZ20" s="115">
        <f ca="1">IF(OR(BU20&lt;&gt;"",BW20&lt;&gt;""),RANK(BY20,BY$11:INDIRECT(BY$7,FALSE)),"")</f>
        <v>10</v>
      </c>
      <c r="CA20" s="116"/>
      <c r="CB20" s="117">
        <f t="shared" si="10"/>
        <v>3534.7999999999997</v>
      </c>
      <c r="CC20" s="120">
        <f>IF(AND($F$8&lt;6,CB20&lt;&gt;""),HLOOKUP(MATCH(ET20,EZ20:FD20,0),Discards,1,FALSE),"")</f>
        <v>5</v>
      </c>
      <c r="CD20" s="117">
        <f t="shared" si="57"/>
        <v>3534.7999999999997</v>
      </c>
      <c r="CE20" s="118">
        <f ca="1">IF(OR(BU20&lt;&gt;"",BW20&lt;&gt;""),RANK(CD20,CD$11:INDIRECT(CD$7,FALSE)),"")</f>
        <v>9</v>
      </c>
      <c r="CF20" s="119"/>
      <c r="CG20" s="5">
        <v>68.19</v>
      </c>
      <c r="CH20" s="113">
        <f t="shared" si="11"/>
        <v>68.19</v>
      </c>
      <c r="CI20" s="21"/>
      <c r="CJ20" s="114">
        <f t="shared" si="58"/>
        <v>920.8</v>
      </c>
      <c r="CK20" s="114">
        <f t="shared" si="59"/>
        <v>920.8</v>
      </c>
      <c r="CL20" s="115">
        <f ca="1">IF(OR(CG20&lt;&gt;"",CI20&lt;&gt;""),RANK(CK20,CK$11:INDIRECT(CK$7,FALSE)),"")</f>
        <v>11</v>
      </c>
      <c r="CM20" s="116"/>
      <c r="CN20" s="117">
        <f t="shared" si="12"/>
        <v>4455.6</v>
      </c>
      <c r="CO20" s="120">
        <f>IF(AND($F$8&lt;7,CN20&lt;&gt;""),HLOOKUP(MATCH(EU20,EZ20:FE20,0),Discards,1,FALSE),"")</f>
        <v>5</v>
      </c>
      <c r="CP20" s="117">
        <f t="shared" si="60"/>
        <v>4455.6</v>
      </c>
      <c r="CQ20" s="118">
        <f ca="1">IF(OR(CG20&lt;&gt;"",CI20&lt;&gt;""),RANK(CP20,CP$11:INDIRECT(CP$7,FALSE)),"")</f>
        <v>8</v>
      </c>
      <c r="CR20" s="119"/>
      <c r="CS20" s="5"/>
      <c r="CT20" s="113">
        <f t="shared" si="13"/>
      </c>
      <c r="CU20" s="21"/>
      <c r="CV20" s="114">
        <f t="shared" si="61"/>
      </c>
      <c r="CW20" s="114">
        <f t="shared" si="62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3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4"/>
      </c>
      <c r="DI20" s="114">
        <f t="shared" si="65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6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21"/>
        <v>1</v>
      </c>
      <c r="EQ20" s="28">
        <f>MIN($EZ20:FA20)</f>
        <v>841.1</v>
      </c>
      <c r="ER20" s="28">
        <f>MIN($EZ20:FB20)</f>
        <v>841.1</v>
      </c>
      <c r="ES20" s="28">
        <f>MIN($EZ20:FC20)</f>
        <v>841.1</v>
      </c>
      <c r="ET20" s="28">
        <f>MIN($EZ20:FD20)</f>
        <v>788.4</v>
      </c>
      <c r="EU20" s="28">
        <f>MIN($EZ20:FE20)</f>
        <v>788.4</v>
      </c>
      <c r="EV20" s="28">
        <f>MIN($EZ20:FF20)</f>
        <v>788.4</v>
      </c>
      <c r="EW20" s="28">
        <f>MIN($EZ20:FG20)</f>
        <v>788.4</v>
      </c>
      <c r="EX20" s="28">
        <f>MIN($EZ20:FH20)</f>
        <v>788.4</v>
      </c>
      <c r="EY20" s="28">
        <f>MIN($EZ20:FI20)</f>
        <v>788.4</v>
      </c>
      <c r="EZ20" s="28">
        <f t="shared" si="22"/>
        <v>861.6</v>
      </c>
      <c r="FA20" s="28">
        <f t="shared" si="23"/>
        <v>841.1</v>
      </c>
      <c r="FB20" s="28">
        <f t="shared" si="24"/>
        <v>909.7</v>
      </c>
      <c r="FC20" s="28">
        <f t="shared" si="25"/>
        <v>922.4</v>
      </c>
      <c r="FD20" s="28">
        <f t="shared" si="26"/>
        <v>788.4</v>
      </c>
      <c r="FE20" s="28">
        <f t="shared" si="27"/>
        <v>920.8</v>
      </c>
      <c r="FF20" s="28">
        <f t="shared" si="28"/>
      </c>
      <c r="FG20" s="28">
        <f t="shared" si="29"/>
      </c>
      <c r="FH20" s="28">
        <f t="shared" si="30"/>
      </c>
      <c r="FI20" s="28">
        <f t="shared" si="31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2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3"/>
      </c>
      <c r="GD20" s="27">
        <f t="shared" si="34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108</v>
      </c>
      <c r="D21" s="135"/>
      <c r="E21" s="134"/>
      <c r="F21" s="134"/>
      <c r="G21" s="149"/>
      <c r="H21" s="136">
        <f t="shared" si="35"/>
      </c>
      <c r="I21" s="137">
        <f t="shared" si="36"/>
        <v>4325.5</v>
      </c>
      <c r="J21" s="137">
        <f>AD21+AO21+BA21+BM21+BY21+CK21+CW21+DI21+DU21+EG21-(MIN(EZ21:FI21)*$EY$2)</f>
        <v>4325.5</v>
      </c>
      <c r="K21" s="140">
        <f ca="1">IF(I21&lt;&gt;"",RANK(I21,J$11:INDIRECT(J$7,FALSE)),"")</f>
        <v>12</v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74.33</v>
      </c>
      <c r="AA21" s="113">
        <f t="shared" si="42"/>
        <v>74.33</v>
      </c>
      <c r="AB21" s="21"/>
      <c r="AC21" s="114">
        <f t="shared" si="43"/>
        <v>816</v>
      </c>
      <c r="AD21" s="114">
        <f t="shared" si="44"/>
        <v>816</v>
      </c>
      <c r="AE21" s="115">
        <f ca="1">IF(OR(Z21&lt;&gt;"",AB21&lt;&gt;""),RANK(AD21,AD$11:INDIRECT(AD$7,FALSE)),"")</f>
        <v>16</v>
      </c>
      <c r="AF21" s="116"/>
      <c r="AG21" s="117">
        <f t="shared" si="45"/>
        <v>816</v>
      </c>
      <c r="AH21" s="117">
        <f t="shared" si="46"/>
        <v>816</v>
      </c>
      <c r="AI21" s="118">
        <f ca="1">IF(OR(Z21&lt;&gt;"",AB21&lt;&gt;""),RANK(AH21,AH$11:INDIRECT(AH$7,FALSE)),"")</f>
        <v>16</v>
      </c>
      <c r="AJ21" s="119"/>
      <c r="AK21" s="5">
        <v>67.46</v>
      </c>
      <c r="AL21" s="113">
        <f t="shared" si="2"/>
        <v>67.46</v>
      </c>
      <c r="AM21" s="21"/>
      <c r="AN21" s="114">
        <f t="shared" si="47"/>
        <v>841.4</v>
      </c>
      <c r="AO21" s="114">
        <f t="shared" si="48"/>
        <v>841.4</v>
      </c>
      <c r="AP21" s="115">
        <f ca="1">IF(OR(AK21&lt;&gt;"",AM21&lt;&gt;""),RANK(AO21,AO$11:INDIRECT(AO$7,FALSE)),"")</f>
        <v>11</v>
      </c>
      <c r="AQ21" s="116"/>
      <c r="AR21" s="117">
        <f t="shared" si="3"/>
        <v>1657.4</v>
      </c>
      <c r="AS21" s="120">
        <f>IF(AND($F$8&lt;3,AR21&lt;&gt;""),HLOOKUP(MATCH(EQ21,EZ21:FA21,0),Discards,1,FALSE),"")</f>
      </c>
      <c r="AT21" s="117">
        <f t="shared" si="4"/>
        <v>1657.4</v>
      </c>
      <c r="AU21" s="118">
        <f ca="1">IF(OR(AK21&lt;&gt;"",AM21&lt;&gt;""),RANK(AT21,AT$11:INDIRECT(AT$7,FALSE)),"")</f>
        <v>12</v>
      </c>
      <c r="AV21" s="119"/>
      <c r="AW21" s="5">
        <v>65.1</v>
      </c>
      <c r="AX21" s="113">
        <f t="shared" si="5"/>
        <v>65.1</v>
      </c>
      <c r="AY21" s="21"/>
      <c r="AZ21" s="114">
        <f t="shared" si="49"/>
        <v>930.1</v>
      </c>
      <c r="BA21" s="114">
        <f t="shared" si="50"/>
        <v>930.1</v>
      </c>
      <c r="BB21" s="115">
        <f ca="1">IF(OR(AW21&lt;&gt;"",AY21&lt;&gt;""),RANK(BA21,BA$11:INDIRECT(BA$7,FALSE)),"")</f>
        <v>8</v>
      </c>
      <c r="BC21" s="116"/>
      <c r="BD21" s="117">
        <f t="shared" si="6"/>
        <v>2587.5</v>
      </c>
      <c r="BE21" s="120">
        <f>IF(AND($F$8&lt;4,BD21&lt;&gt;""),HLOOKUP(MATCH(ER21,EZ21:FB21,0),Discards,1,FALSE),"")</f>
      </c>
      <c r="BF21" s="117">
        <f t="shared" si="51"/>
        <v>2587.5</v>
      </c>
      <c r="BG21" s="118">
        <f ca="1">IF(OR(AW21&lt;&gt;"",AY21&lt;&gt;""),RANK(BF21,BF$11:INDIRECT(BF$7,FALSE)),"")</f>
        <v>10</v>
      </c>
      <c r="BH21" s="119"/>
      <c r="BI21" s="5">
        <v>62.69</v>
      </c>
      <c r="BJ21" s="113">
        <f t="shared" si="7"/>
        <v>62.69</v>
      </c>
      <c r="BK21" s="21"/>
      <c r="BL21" s="114">
        <f t="shared" si="52"/>
        <v>857.2</v>
      </c>
      <c r="BM21" s="114">
        <f t="shared" si="53"/>
        <v>857.2</v>
      </c>
      <c r="BN21" s="115">
        <f ca="1">IF(OR(BI21&lt;&gt;"",BK21&lt;&gt;""),RANK(BM21,BM$11:INDIRECT(BM$7,FALSE)),"")</f>
        <v>9</v>
      </c>
      <c r="BO21" s="116"/>
      <c r="BP21" s="117">
        <f t="shared" si="8"/>
        <v>3444.7</v>
      </c>
      <c r="BQ21" s="120">
        <f>IF(AND($F$8&lt;5,BP21&lt;&gt;""),HLOOKUP(MATCH(ES21,EZ21:FC21,0),Discards,1,FALSE),"")</f>
      </c>
      <c r="BR21" s="117">
        <f t="shared" si="54"/>
        <v>3444.7</v>
      </c>
      <c r="BS21" s="118">
        <f ca="1">IF(OR(BI21&lt;&gt;"",BK21&lt;&gt;""),RANK(BR21,BR$11:INDIRECT(BR$7,FALSE)),"")</f>
        <v>11</v>
      </c>
      <c r="BT21" s="119"/>
      <c r="BU21" s="5">
        <v>72.26</v>
      </c>
      <c r="BV21" s="113">
        <f t="shared" si="9"/>
        <v>72.26</v>
      </c>
      <c r="BW21" s="21"/>
      <c r="BX21" s="114">
        <f t="shared" si="55"/>
        <v>695.3</v>
      </c>
      <c r="BY21" s="114">
        <f t="shared" si="56"/>
        <v>695.3</v>
      </c>
      <c r="BZ21" s="115">
        <f ca="1">IF(OR(BU21&lt;&gt;"",BW21&lt;&gt;""),RANK(BY21,BY$11:INDIRECT(BY$7,FALSE)),"")</f>
        <v>19</v>
      </c>
      <c r="CA21" s="116"/>
      <c r="CB21" s="117">
        <f t="shared" si="10"/>
        <v>3444.7</v>
      </c>
      <c r="CC21" s="120">
        <f>IF(AND($F$8&lt;6,CB21&lt;&gt;""),HLOOKUP(MATCH(ET21,EZ21:FD21,0),Discards,1,FALSE),"")</f>
        <v>5</v>
      </c>
      <c r="CD21" s="117">
        <f t="shared" si="57"/>
        <v>3444.7</v>
      </c>
      <c r="CE21" s="118">
        <f ca="1">IF(OR(BU21&lt;&gt;"",BW21&lt;&gt;""),RANK(CD21,CD$11:INDIRECT(CD$7,FALSE)),"")</f>
        <v>11</v>
      </c>
      <c r="CF21" s="119"/>
      <c r="CG21" s="5">
        <v>71.29</v>
      </c>
      <c r="CH21" s="113">
        <f t="shared" si="11"/>
        <v>71.29</v>
      </c>
      <c r="CI21" s="21"/>
      <c r="CJ21" s="114">
        <f t="shared" si="58"/>
        <v>880.8</v>
      </c>
      <c r="CK21" s="114">
        <f t="shared" si="59"/>
        <v>880.8</v>
      </c>
      <c r="CL21" s="115">
        <f ca="1">IF(OR(CG21&lt;&gt;"",CI21&lt;&gt;""),RANK(CK21,CK$11:INDIRECT(CK$7,FALSE)),"")</f>
        <v>15</v>
      </c>
      <c r="CM21" s="116"/>
      <c r="CN21" s="117">
        <f t="shared" si="12"/>
        <v>4325.5</v>
      </c>
      <c r="CO21" s="120">
        <f>IF(AND($F$8&lt;7,CN21&lt;&gt;""),HLOOKUP(MATCH(EU21,EZ21:FE21,0),Discards,1,FALSE),"")</f>
        <v>5</v>
      </c>
      <c r="CP21" s="117">
        <f t="shared" si="60"/>
        <v>4325.5</v>
      </c>
      <c r="CQ21" s="118">
        <f ca="1">IF(OR(CG21&lt;&gt;"",CI21&lt;&gt;""),RANK(CP21,CP$11:INDIRECT(CP$7,FALSE)),"")</f>
        <v>12</v>
      </c>
      <c r="CR21" s="119"/>
      <c r="CS21" s="5"/>
      <c r="CT21" s="113">
        <f t="shared" si="13"/>
      </c>
      <c r="CU21" s="21"/>
      <c r="CV21" s="114">
        <f t="shared" si="61"/>
      </c>
      <c r="CW21" s="114">
        <f t="shared" si="62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3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4"/>
      </c>
      <c r="DI21" s="114">
        <f t="shared" si="65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6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21"/>
        <v>1</v>
      </c>
      <c r="EQ21" s="28">
        <f>MIN($EZ21:FA21)</f>
        <v>816</v>
      </c>
      <c r="ER21" s="28">
        <f>MIN($EZ21:FB21)</f>
        <v>816</v>
      </c>
      <c r="ES21" s="28">
        <f>MIN($EZ21:FC21)</f>
        <v>816</v>
      </c>
      <c r="ET21" s="28">
        <f>MIN($EZ21:FD21)</f>
        <v>695.3</v>
      </c>
      <c r="EU21" s="28">
        <f>MIN($EZ21:FE21)</f>
        <v>695.3</v>
      </c>
      <c r="EV21" s="28">
        <f>MIN($EZ21:FF21)</f>
        <v>695.3</v>
      </c>
      <c r="EW21" s="28">
        <f>MIN($EZ21:FG21)</f>
        <v>695.3</v>
      </c>
      <c r="EX21" s="28">
        <f>MIN($EZ21:FH21)</f>
        <v>695.3</v>
      </c>
      <c r="EY21" s="28">
        <f>MIN($EZ21:FI21)</f>
        <v>695.3</v>
      </c>
      <c r="EZ21" s="28">
        <f t="shared" si="22"/>
        <v>816</v>
      </c>
      <c r="FA21" s="28">
        <f t="shared" si="23"/>
        <v>841.4</v>
      </c>
      <c r="FB21" s="28">
        <f t="shared" si="24"/>
        <v>930.1</v>
      </c>
      <c r="FC21" s="28">
        <f t="shared" si="25"/>
        <v>857.2</v>
      </c>
      <c r="FD21" s="28">
        <f t="shared" si="26"/>
        <v>695.3</v>
      </c>
      <c r="FE21" s="28">
        <f t="shared" si="27"/>
        <v>880.8</v>
      </c>
      <c r="FF21" s="28">
        <f t="shared" si="28"/>
      </c>
      <c r="FG21" s="28">
        <f t="shared" si="29"/>
      </c>
      <c r="FH21" s="28">
        <f t="shared" si="30"/>
      </c>
      <c r="FI21" s="28">
        <f t="shared" si="31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2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3"/>
      </c>
      <c r="GD21" s="27">
        <f t="shared" si="34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95</v>
      </c>
      <c r="D22" s="135"/>
      <c r="E22" s="134"/>
      <c r="F22" s="134"/>
      <c r="G22" s="149"/>
      <c r="H22" s="136">
        <f t="shared" si="35"/>
      </c>
      <c r="I22" s="137">
        <f t="shared" si="36"/>
        <v>4305.8</v>
      </c>
      <c r="J22" s="137">
        <f>AD22+AO22+BA22+BM22+BY22+CK22+CW22+DI22+DU22+EG22-(MIN(EZ22:FI22)*$EY$2)</f>
        <v>4305.8</v>
      </c>
      <c r="K22" s="140">
        <f ca="1">IF(I22&lt;&gt;"",RANK(I22,J$11:INDIRECT(J$7,FALSE)),"")</f>
        <v>15</v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73.75</v>
      </c>
      <c r="AA22" s="113">
        <f t="shared" si="42"/>
        <v>73.75</v>
      </c>
      <c r="AB22" s="21"/>
      <c r="AC22" s="114">
        <f t="shared" si="43"/>
        <v>822.4</v>
      </c>
      <c r="AD22" s="114">
        <f t="shared" si="44"/>
        <v>822.4</v>
      </c>
      <c r="AE22" s="115">
        <f ca="1">IF(OR(Z22&lt;&gt;"",AB22&lt;&gt;""),RANK(AD22,AD$11:INDIRECT(AD$7,FALSE)),"")</f>
        <v>15</v>
      </c>
      <c r="AF22" s="116"/>
      <c r="AG22" s="117">
        <f t="shared" si="45"/>
        <v>822.4</v>
      </c>
      <c r="AH22" s="117">
        <f t="shared" si="46"/>
        <v>822.4</v>
      </c>
      <c r="AI22" s="118">
        <f ca="1">IF(OR(Z22&lt;&gt;"",AB22&lt;&gt;""),RANK(AH22,AH$11:INDIRECT(AH$7,FALSE)),"")</f>
        <v>15</v>
      </c>
      <c r="AJ22" s="119"/>
      <c r="AK22" s="5">
        <v>66.27</v>
      </c>
      <c r="AL22" s="113">
        <f t="shared" si="2"/>
        <v>66.27</v>
      </c>
      <c r="AM22" s="21"/>
      <c r="AN22" s="114">
        <f t="shared" si="47"/>
        <v>856.5</v>
      </c>
      <c r="AO22" s="114">
        <f t="shared" si="48"/>
        <v>856.5</v>
      </c>
      <c r="AP22" s="115">
        <f ca="1">IF(OR(AK22&lt;&gt;"",AM22&lt;&gt;""),RANK(AO22,AO$11:INDIRECT(AO$7,FALSE)),"")</f>
        <v>8</v>
      </c>
      <c r="AQ22" s="116"/>
      <c r="AR22" s="117">
        <f t="shared" si="3"/>
        <v>1678.9</v>
      </c>
      <c r="AS22" s="120">
        <f>IF(AND($F$8&lt;3,AR22&lt;&gt;""),HLOOKUP(MATCH(EQ22,EZ22:FA22,0),Discards,1,FALSE),"")</f>
      </c>
      <c r="AT22" s="117">
        <f t="shared" si="4"/>
        <v>1678.9</v>
      </c>
      <c r="AU22" s="118">
        <f ca="1">IF(OR(AK22&lt;&gt;"",AM22&lt;&gt;""),RANK(AT22,AT$11:INDIRECT(AT$7,FALSE)),"")</f>
        <v>9</v>
      </c>
      <c r="AV22" s="119"/>
      <c r="AW22" s="5">
        <v>69.35</v>
      </c>
      <c r="AX22" s="113">
        <f t="shared" si="5"/>
        <v>69.35</v>
      </c>
      <c r="AY22" s="21"/>
      <c r="AZ22" s="114">
        <f t="shared" si="49"/>
        <v>873.1</v>
      </c>
      <c r="BA22" s="114">
        <f t="shared" si="50"/>
        <v>873.1</v>
      </c>
      <c r="BB22" s="115">
        <f ca="1">IF(OR(AW22&lt;&gt;"",AY22&lt;&gt;""),RANK(BA22,BA$11:INDIRECT(BA$7,FALSE)),"")</f>
        <v>12</v>
      </c>
      <c r="BC22" s="116"/>
      <c r="BD22" s="117">
        <f t="shared" si="6"/>
        <v>2552</v>
      </c>
      <c r="BE22" s="120">
        <f>IF(AND($F$8&lt;4,BD22&lt;&gt;""),HLOOKUP(MATCH(ER22,EZ22:FB22,0),Discards,1,FALSE),"")</f>
      </c>
      <c r="BF22" s="117">
        <f t="shared" si="51"/>
        <v>2552</v>
      </c>
      <c r="BG22" s="118">
        <f ca="1">IF(OR(AW22&lt;&gt;"",AY22&lt;&gt;""),RANK(BF22,BF$11:INDIRECT(BF$7,FALSE)),"")</f>
        <v>11</v>
      </c>
      <c r="BH22" s="119"/>
      <c r="BI22" s="5">
        <v>60.92</v>
      </c>
      <c r="BJ22" s="113">
        <f t="shared" si="7"/>
        <v>60.92</v>
      </c>
      <c r="BK22" s="21"/>
      <c r="BL22" s="114">
        <f t="shared" si="52"/>
        <v>882.1</v>
      </c>
      <c r="BM22" s="114">
        <f t="shared" si="53"/>
        <v>882.1</v>
      </c>
      <c r="BN22" s="115">
        <f ca="1">IF(OR(BI22&lt;&gt;"",BK22&lt;&gt;""),RANK(BM22,BM$11:INDIRECT(BM$7,FALSE)),"")</f>
        <v>7</v>
      </c>
      <c r="BO22" s="116"/>
      <c r="BP22" s="117">
        <f t="shared" si="8"/>
        <v>3434.1</v>
      </c>
      <c r="BQ22" s="120">
        <f>IF(AND($F$8&lt;5,BP22&lt;&gt;""),HLOOKUP(MATCH(ES22,EZ22:FC22,0),Discards,1,FALSE),"")</f>
      </c>
      <c r="BR22" s="117">
        <f t="shared" si="54"/>
        <v>3434.1</v>
      </c>
      <c r="BS22" s="118">
        <f ca="1">IF(OR(BI22&lt;&gt;"",BK22&lt;&gt;""),RANK(BR22,BR$11:INDIRECT(BR$7,FALSE)),"")</f>
        <v>12</v>
      </c>
      <c r="BT22" s="119"/>
      <c r="BU22" s="5">
        <v>76.25</v>
      </c>
      <c r="BV22" s="113">
        <f t="shared" si="9"/>
        <v>76.25</v>
      </c>
      <c r="BW22" s="21"/>
      <c r="BX22" s="114">
        <f t="shared" si="55"/>
        <v>658.9</v>
      </c>
      <c r="BY22" s="114">
        <f t="shared" si="56"/>
        <v>658.9</v>
      </c>
      <c r="BZ22" s="115">
        <f ca="1">IF(OR(BU22&lt;&gt;"",BW22&lt;&gt;""),RANK(BY22,BY$11:INDIRECT(BY$7,FALSE)),"")</f>
        <v>24</v>
      </c>
      <c r="CA22" s="116"/>
      <c r="CB22" s="117">
        <f t="shared" si="10"/>
        <v>3434.1</v>
      </c>
      <c r="CC22" s="120">
        <f>IF(AND($F$8&lt;6,CB22&lt;&gt;""),HLOOKUP(MATCH(ET22,EZ22:FD22,0),Discards,1,FALSE),"")</f>
        <v>5</v>
      </c>
      <c r="CD22" s="117">
        <f t="shared" si="57"/>
        <v>3434.1</v>
      </c>
      <c r="CE22" s="118">
        <f ca="1">IF(OR(BU22&lt;&gt;"",BW22&lt;&gt;""),RANK(CD22,CD$11:INDIRECT(CD$7,FALSE)),"")</f>
        <v>12</v>
      </c>
      <c r="CF22" s="119"/>
      <c r="CG22" s="5">
        <v>72.03</v>
      </c>
      <c r="CH22" s="113">
        <f t="shared" si="11"/>
        <v>72.03</v>
      </c>
      <c r="CI22" s="21"/>
      <c r="CJ22" s="114">
        <f t="shared" si="58"/>
        <v>871.7</v>
      </c>
      <c r="CK22" s="114">
        <f t="shared" si="59"/>
        <v>871.7</v>
      </c>
      <c r="CL22" s="115">
        <f ca="1">IF(OR(CG22&lt;&gt;"",CI22&lt;&gt;""),RANK(CK22,CK$11:INDIRECT(CK$7,FALSE)),"")</f>
        <v>17</v>
      </c>
      <c r="CM22" s="116"/>
      <c r="CN22" s="117">
        <f t="shared" si="12"/>
        <v>4305.8</v>
      </c>
      <c r="CO22" s="120">
        <f>IF(AND($F$8&lt;7,CN22&lt;&gt;""),HLOOKUP(MATCH(EU22,EZ22:FE22,0),Discards,1,FALSE),"")</f>
        <v>5</v>
      </c>
      <c r="CP22" s="117">
        <f t="shared" si="60"/>
        <v>4305.8</v>
      </c>
      <c r="CQ22" s="118">
        <f ca="1">IF(OR(CG22&lt;&gt;"",CI22&lt;&gt;""),RANK(CP22,CP$11:INDIRECT(CP$7,FALSE)),"")</f>
        <v>15</v>
      </c>
      <c r="CR22" s="119"/>
      <c r="CS22" s="5"/>
      <c r="CT22" s="113">
        <f t="shared" si="13"/>
      </c>
      <c r="CU22" s="21"/>
      <c r="CV22" s="114">
        <f t="shared" si="61"/>
      </c>
      <c r="CW22" s="114">
        <f t="shared" si="62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3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4"/>
      </c>
      <c r="DI22" s="114">
        <f t="shared" si="65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6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21"/>
        <v>1</v>
      </c>
      <c r="EQ22" s="28">
        <f>MIN($EZ22:FA22)</f>
        <v>822.4</v>
      </c>
      <c r="ER22" s="28">
        <f>MIN($EZ22:FB22)</f>
        <v>822.4</v>
      </c>
      <c r="ES22" s="28">
        <f>MIN($EZ22:FC22)</f>
        <v>822.4</v>
      </c>
      <c r="ET22" s="28">
        <f>MIN($EZ22:FD22)</f>
        <v>658.9</v>
      </c>
      <c r="EU22" s="28">
        <f>MIN($EZ22:FE22)</f>
        <v>658.9</v>
      </c>
      <c r="EV22" s="28">
        <f>MIN($EZ22:FF22)</f>
        <v>658.9</v>
      </c>
      <c r="EW22" s="28">
        <f>MIN($EZ22:FG22)</f>
        <v>658.9</v>
      </c>
      <c r="EX22" s="28">
        <f>MIN($EZ22:FH22)</f>
        <v>658.9</v>
      </c>
      <c r="EY22" s="28">
        <f>MIN($EZ22:FI22)</f>
        <v>658.9</v>
      </c>
      <c r="EZ22" s="28">
        <f t="shared" si="22"/>
        <v>822.4</v>
      </c>
      <c r="FA22" s="28">
        <f t="shared" si="23"/>
        <v>856.5</v>
      </c>
      <c r="FB22" s="28">
        <f t="shared" si="24"/>
        <v>873.1</v>
      </c>
      <c r="FC22" s="28">
        <f t="shared" si="25"/>
        <v>882.1</v>
      </c>
      <c r="FD22" s="28">
        <f t="shared" si="26"/>
        <v>658.9</v>
      </c>
      <c r="FE22" s="28">
        <f t="shared" si="27"/>
        <v>871.7</v>
      </c>
      <c r="FF22" s="28">
        <f t="shared" si="28"/>
      </c>
      <c r="FG22" s="28">
        <f t="shared" si="29"/>
      </c>
      <c r="FH22" s="28">
        <f t="shared" si="30"/>
      </c>
      <c r="FI22" s="28">
        <f t="shared" si="31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2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3"/>
      </c>
      <c r="GD22" s="27">
        <f t="shared" si="34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96</v>
      </c>
      <c r="D23" s="19"/>
      <c r="E23" s="18"/>
      <c r="F23" s="18"/>
      <c r="G23" s="148"/>
      <c r="H23" s="122">
        <f t="shared" si="35"/>
      </c>
      <c r="I23" s="30">
        <f t="shared" si="36"/>
        <v>4129.8</v>
      </c>
      <c r="J23" s="30">
        <f>AD23+AO23+BA23+BM23+BY23+CK23+CW23+DI23+DU23+EG23-(MIN(EZ23:FI23)*$EY$2)</f>
        <v>4129.8</v>
      </c>
      <c r="K23" s="139">
        <f ca="1">IF(I23&lt;&gt;"",RANK(I23,J$11:INDIRECT(J$7,FALSE)),"")</f>
        <v>18</v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68.44</v>
      </c>
      <c r="AA23" s="103">
        <f t="shared" si="42"/>
        <v>68.44</v>
      </c>
      <c r="AB23" s="20"/>
      <c r="AC23" s="104">
        <f t="shared" si="43"/>
        <v>886.2</v>
      </c>
      <c r="AD23" s="104">
        <f t="shared" si="44"/>
        <v>886.2</v>
      </c>
      <c r="AE23" s="105">
        <f ca="1">IF(OR(Z23&lt;&gt;"",AB23&lt;&gt;""),RANK(AD23,AD$11:INDIRECT(AD$7,FALSE)),"")</f>
        <v>7</v>
      </c>
      <c r="AF23" s="106"/>
      <c r="AG23" s="107">
        <f t="shared" si="45"/>
        <v>886.2</v>
      </c>
      <c r="AH23" s="107">
        <f t="shared" si="46"/>
        <v>886.2</v>
      </c>
      <c r="AI23" s="108">
        <f ca="1">IF(OR(Z23&lt;&gt;"",AB23&lt;&gt;""),RANK(AH23,AH$11:INDIRECT(AH$7,FALSE)),"")</f>
        <v>7</v>
      </c>
      <c r="AJ23" s="109"/>
      <c r="AK23" s="4">
        <v>77.57</v>
      </c>
      <c r="AL23" s="103">
        <f t="shared" si="2"/>
        <v>77.57</v>
      </c>
      <c r="AM23" s="20"/>
      <c r="AN23" s="104">
        <f t="shared" si="47"/>
        <v>731.7</v>
      </c>
      <c r="AO23" s="104">
        <f t="shared" si="48"/>
        <v>731.7</v>
      </c>
      <c r="AP23" s="105">
        <f ca="1">IF(OR(AK23&lt;&gt;"",AM23&lt;&gt;""),RANK(AO23,AO$11:INDIRECT(AO$7,FALSE)),"")</f>
        <v>21</v>
      </c>
      <c r="AQ23" s="106"/>
      <c r="AR23" s="107">
        <f t="shared" si="3"/>
        <v>1617.9</v>
      </c>
      <c r="AS23" s="110">
        <f>IF(AND($F$8&lt;3,AR23&lt;&gt;""),HLOOKUP(MATCH(EQ23,EZ23:FA23,0),Discards,1,FALSE),"")</f>
      </c>
      <c r="AT23" s="107">
        <f t="shared" si="4"/>
        <v>1617.9</v>
      </c>
      <c r="AU23" s="108">
        <f ca="1">IF(OR(AK23&lt;&gt;"",AM23&lt;&gt;""),RANK(AT23,AT$11:INDIRECT(AT$7,FALSE)),"")</f>
        <v>18</v>
      </c>
      <c r="AV23" s="109"/>
      <c r="AW23" s="4">
        <v>72.83</v>
      </c>
      <c r="AX23" s="103">
        <f t="shared" si="5"/>
        <v>72.83</v>
      </c>
      <c r="AY23" s="20"/>
      <c r="AZ23" s="104">
        <f t="shared" si="49"/>
        <v>831.4</v>
      </c>
      <c r="BA23" s="104">
        <f t="shared" si="50"/>
        <v>831.4</v>
      </c>
      <c r="BB23" s="105">
        <f ca="1">IF(OR(AW23&lt;&gt;"",AY23&lt;&gt;""),RANK(BA23,BA$11:INDIRECT(BA$7,FALSE)),"")</f>
        <v>19</v>
      </c>
      <c r="BC23" s="106"/>
      <c r="BD23" s="107">
        <f t="shared" si="6"/>
        <v>2449.3</v>
      </c>
      <c r="BE23" s="110">
        <f>IF(AND($F$8&lt;4,BD23&lt;&gt;""),HLOOKUP(MATCH(ER23,EZ23:FB23,0),Discards,1,FALSE),"")</f>
      </c>
      <c r="BF23" s="107">
        <f t="shared" si="51"/>
        <v>2449.3</v>
      </c>
      <c r="BG23" s="108">
        <f ca="1">IF(OR(AW23&lt;&gt;"",AY23&lt;&gt;""),RANK(BF23,BF$11:INDIRECT(BF$7,FALSE)),"")</f>
        <v>17</v>
      </c>
      <c r="BH23" s="109"/>
      <c r="BI23" s="4">
        <v>65.72</v>
      </c>
      <c r="BJ23" s="103">
        <f t="shared" si="7"/>
        <v>65.72</v>
      </c>
      <c r="BK23" s="20"/>
      <c r="BL23" s="104">
        <f t="shared" si="52"/>
        <v>817.7</v>
      </c>
      <c r="BM23" s="104">
        <f t="shared" si="53"/>
        <v>817.7</v>
      </c>
      <c r="BN23" s="105">
        <f ca="1">IF(OR(BI23&lt;&gt;"",BK23&lt;&gt;""),RANK(BM23,BM$11:INDIRECT(BM$7,FALSE)),"")</f>
        <v>18</v>
      </c>
      <c r="BO23" s="106"/>
      <c r="BP23" s="107">
        <f t="shared" si="8"/>
        <v>3267</v>
      </c>
      <c r="BQ23" s="110">
        <f>IF(AND($F$8&lt;5,BP23&lt;&gt;""),HLOOKUP(MATCH(ES23,EZ23:FC23,0),Discards,1,FALSE),"")</f>
      </c>
      <c r="BR23" s="107">
        <f t="shared" si="54"/>
        <v>3267</v>
      </c>
      <c r="BS23" s="108">
        <f ca="1">IF(OR(BI23&lt;&gt;"",BK23&lt;&gt;""),RANK(BR23,BR$11:INDIRECT(BR$7,FALSE)),"")</f>
        <v>17</v>
      </c>
      <c r="BT23" s="109"/>
      <c r="BU23" s="4">
        <v>67.02</v>
      </c>
      <c r="BV23" s="103">
        <f t="shared" si="9"/>
        <v>67.02</v>
      </c>
      <c r="BW23" s="20"/>
      <c r="BX23" s="104">
        <f t="shared" si="55"/>
        <v>749.6</v>
      </c>
      <c r="BY23" s="104">
        <f t="shared" si="56"/>
        <v>749.6</v>
      </c>
      <c r="BZ23" s="105">
        <f ca="1">IF(OR(BU23&lt;&gt;"",BW23&lt;&gt;""),RANK(BY23,BY$11:INDIRECT(BY$7,FALSE)),"")</f>
        <v>15</v>
      </c>
      <c r="CA23" s="106"/>
      <c r="CB23" s="107">
        <f t="shared" si="10"/>
        <v>3284.8999999999996</v>
      </c>
      <c r="CC23" s="110">
        <f>IF(AND($F$8&lt;6,CB23&lt;&gt;""),HLOOKUP(MATCH(ET23,EZ23:FD23,0),Discards,1,FALSE),"")</f>
        <v>2</v>
      </c>
      <c r="CD23" s="107">
        <f t="shared" si="57"/>
        <v>3284.8999999999996</v>
      </c>
      <c r="CE23" s="108">
        <f ca="1">IF(OR(BU23&lt;&gt;"",BW23&lt;&gt;""),RANK(CD23,CD$11:INDIRECT(CD$7,FALSE)),"")</f>
        <v>18</v>
      </c>
      <c r="CF23" s="109"/>
      <c r="CG23" s="4">
        <v>74.32</v>
      </c>
      <c r="CH23" s="103">
        <f t="shared" si="11"/>
        <v>74.32</v>
      </c>
      <c r="CI23" s="20"/>
      <c r="CJ23" s="104">
        <f t="shared" si="58"/>
        <v>844.9</v>
      </c>
      <c r="CK23" s="104">
        <f t="shared" si="59"/>
        <v>844.9</v>
      </c>
      <c r="CL23" s="105">
        <f ca="1">IF(OR(CG23&lt;&gt;"",CI23&lt;&gt;""),RANK(CK23,CK$11:INDIRECT(CK$7,FALSE)),"")</f>
        <v>19</v>
      </c>
      <c r="CM23" s="106"/>
      <c r="CN23" s="107">
        <f t="shared" si="12"/>
        <v>4129.8</v>
      </c>
      <c r="CO23" s="110">
        <f>IF(AND($F$8&lt;7,CN23&lt;&gt;""),HLOOKUP(MATCH(EU23,EZ23:FE23,0),Discards,1,FALSE),"")</f>
        <v>2</v>
      </c>
      <c r="CP23" s="107">
        <f t="shared" si="60"/>
        <v>4129.8</v>
      </c>
      <c r="CQ23" s="108">
        <f ca="1">IF(OR(CG23&lt;&gt;"",CI23&lt;&gt;""),RANK(CP23,CP$11:INDIRECT(CP$7,FALSE)),"")</f>
        <v>18</v>
      </c>
      <c r="CR23" s="109"/>
      <c r="CS23" s="4"/>
      <c r="CT23" s="103">
        <f t="shared" si="13"/>
      </c>
      <c r="CU23" s="20"/>
      <c r="CV23" s="104">
        <f t="shared" si="61"/>
      </c>
      <c r="CW23" s="104">
        <f t="shared" si="62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3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21"/>
        <v>1</v>
      </c>
      <c r="EQ23" s="28">
        <f>MIN($EZ23:FA23)</f>
        <v>731.7</v>
      </c>
      <c r="ER23" s="28">
        <f>MIN($EZ23:FB23)</f>
        <v>731.7</v>
      </c>
      <c r="ES23" s="28">
        <f>MIN($EZ23:FC23)</f>
        <v>731.7</v>
      </c>
      <c r="ET23" s="28">
        <f>MIN($EZ23:FD23)</f>
        <v>731.7</v>
      </c>
      <c r="EU23" s="28">
        <f>MIN($EZ23:FE23)</f>
        <v>731.7</v>
      </c>
      <c r="EV23" s="28">
        <f>MIN($EZ23:FF23)</f>
        <v>731.7</v>
      </c>
      <c r="EW23" s="28">
        <f>MIN($EZ23:FG23)</f>
        <v>731.7</v>
      </c>
      <c r="EX23" s="28">
        <f>MIN($EZ23:FH23)</f>
        <v>731.7</v>
      </c>
      <c r="EY23" s="28">
        <f>MIN($EZ23:FI23)</f>
        <v>731.7</v>
      </c>
      <c r="EZ23" s="28">
        <f t="shared" si="22"/>
        <v>886.2</v>
      </c>
      <c r="FA23" s="28">
        <f t="shared" si="23"/>
        <v>731.7</v>
      </c>
      <c r="FB23" s="28">
        <f t="shared" si="24"/>
        <v>831.4</v>
      </c>
      <c r="FC23" s="28">
        <f t="shared" si="25"/>
        <v>817.7</v>
      </c>
      <c r="FD23" s="28">
        <f t="shared" si="26"/>
        <v>749.6</v>
      </c>
      <c r="FE23" s="28">
        <f t="shared" si="27"/>
        <v>844.9</v>
      </c>
      <c r="FF23" s="28">
        <f t="shared" si="28"/>
      </c>
      <c r="FG23" s="28">
        <f t="shared" si="29"/>
      </c>
      <c r="FH23" s="28">
        <f t="shared" si="30"/>
      </c>
      <c r="FI23" s="28">
        <f t="shared" si="31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2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3"/>
      </c>
      <c r="GD23" s="27">
        <f t="shared" si="34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97</v>
      </c>
      <c r="D24" s="19"/>
      <c r="E24" s="18"/>
      <c r="F24" s="18"/>
      <c r="G24" s="148"/>
      <c r="H24" s="122">
        <f t="shared" si="35"/>
      </c>
      <c r="I24" s="30">
        <f t="shared" si="36"/>
        <v>4090.9999999999995</v>
      </c>
      <c r="J24" s="30">
        <f>AD24+AO24+BA24+BM24+BY24+CK24+CW24+DI24+DU24+EG24-(MIN(EZ24:FI24)*$EY$2)</f>
        <v>4090.9999999999995</v>
      </c>
      <c r="K24" s="139">
        <f ca="1">IF(I24&lt;&gt;"",RANK(I24,J$11:INDIRECT(J$7,FALSE)),"")</f>
        <v>19</v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75.38</v>
      </c>
      <c r="AA24" s="103">
        <f t="shared" si="42"/>
        <v>75.38</v>
      </c>
      <c r="AB24" s="20"/>
      <c r="AC24" s="104">
        <f t="shared" si="43"/>
        <v>804.6</v>
      </c>
      <c r="AD24" s="104">
        <f t="shared" si="44"/>
        <v>804.6</v>
      </c>
      <c r="AE24" s="105">
        <f ca="1">IF(OR(Z24&lt;&gt;"",AB24&lt;&gt;""),RANK(AD24,AD$11:INDIRECT(AD$7,FALSE)),"")</f>
        <v>17</v>
      </c>
      <c r="AF24" s="106"/>
      <c r="AG24" s="107">
        <f t="shared" si="45"/>
        <v>804.6</v>
      </c>
      <c r="AH24" s="107">
        <f t="shared" si="46"/>
        <v>804.6</v>
      </c>
      <c r="AI24" s="108">
        <f ca="1">IF(OR(Z24&lt;&gt;"",AB24&lt;&gt;""),RANK(AH24,AH$11:INDIRECT(AH$7,FALSE)),"")</f>
        <v>17</v>
      </c>
      <c r="AJ24" s="109"/>
      <c r="AK24" s="4">
        <v>77.4</v>
      </c>
      <c r="AL24" s="103">
        <f t="shared" si="2"/>
        <v>77.4</v>
      </c>
      <c r="AM24" s="20"/>
      <c r="AN24" s="104">
        <f t="shared" si="47"/>
        <v>733.3</v>
      </c>
      <c r="AO24" s="104">
        <f t="shared" si="48"/>
        <v>733.3</v>
      </c>
      <c r="AP24" s="105">
        <f ca="1">IF(OR(AK24&lt;&gt;"",AM24&lt;&gt;""),RANK(AO24,AO$11:INDIRECT(AO$7,FALSE)),"")</f>
        <v>20</v>
      </c>
      <c r="AQ24" s="106"/>
      <c r="AR24" s="107">
        <f t="shared" si="3"/>
        <v>1537.9</v>
      </c>
      <c r="AS24" s="110">
        <f>IF(AND($F$8&lt;3,AR24&lt;&gt;""),HLOOKUP(MATCH(EQ24,EZ24:FA24,0),Discards,1,FALSE),"")</f>
      </c>
      <c r="AT24" s="107">
        <f t="shared" si="4"/>
        <v>1537.9</v>
      </c>
      <c r="AU24" s="108">
        <f ca="1">IF(OR(AK24&lt;&gt;"",AM24&lt;&gt;""),RANK(AT24,AT$11:INDIRECT(AT$7,FALSE)),"")</f>
        <v>22</v>
      </c>
      <c r="AV24" s="109"/>
      <c r="AW24" s="4">
        <v>70.26</v>
      </c>
      <c r="AX24" s="103">
        <f t="shared" si="5"/>
        <v>70.26</v>
      </c>
      <c r="AY24" s="20"/>
      <c r="AZ24" s="104">
        <f t="shared" si="49"/>
        <v>861.8</v>
      </c>
      <c r="BA24" s="104">
        <f t="shared" si="50"/>
        <v>861.8</v>
      </c>
      <c r="BB24" s="105">
        <f ca="1">IF(OR(AW24&lt;&gt;"",AY24&lt;&gt;""),RANK(BA24,BA$11:INDIRECT(BA$7,FALSE)),"")</f>
        <v>13</v>
      </c>
      <c r="BC24" s="106"/>
      <c r="BD24" s="107">
        <f t="shared" si="6"/>
        <v>2399.7</v>
      </c>
      <c r="BE24" s="110">
        <f>IF(AND($F$8&lt;4,BD24&lt;&gt;""),HLOOKUP(MATCH(ER24,EZ24:FB24,0),Discards,1,FALSE),"")</f>
      </c>
      <c r="BF24" s="107">
        <f t="shared" si="51"/>
        <v>2399.7</v>
      </c>
      <c r="BG24" s="108">
        <f ca="1">IF(OR(AW24&lt;&gt;"",AY24&lt;&gt;""),RANK(BF24,BF$11:INDIRECT(BF$7,FALSE)),"")</f>
        <v>21</v>
      </c>
      <c r="BH24" s="109"/>
      <c r="BI24" s="4">
        <v>65.56</v>
      </c>
      <c r="BJ24" s="103">
        <f t="shared" si="7"/>
        <v>65.56</v>
      </c>
      <c r="BK24" s="20"/>
      <c r="BL24" s="104">
        <f t="shared" si="52"/>
        <v>819.7</v>
      </c>
      <c r="BM24" s="104">
        <f t="shared" si="53"/>
        <v>819.7</v>
      </c>
      <c r="BN24" s="105">
        <f ca="1">IF(OR(BI24&lt;&gt;"",BK24&lt;&gt;""),RANK(BM24,BM$11:INDIRECT(BM$7,FALSE)),"")</f>
        <v>16</v>
      </c>
      <c r="BO24" s="106"/>
      <c r="BP24" s="107">
        <f t="shared" si="8"/>
        <v>3219.3999999999996</v>
      </c>
      <c r="BQ24" s="110">
        <f>IF(AND($F$8&lt;5,BP24&lt;&gt;""),HLOOKUP(MATCH(ES24,EZ24:FC24,0),Discards,1,FALSE),"")</f>
      </c>
      <c r="BR24" s="107">
        <f t="shared" si="54"/>
        <v>3219.3999999999996</v>
      </c>
      <c r="BS24" s="108">
        <f ca="1">IF(OR(BI24&lt;&gt;"",BK24&lt;&gt;""),RANK(BR24,BR$11:INDIRECT(BR$7,FALSE)),"")</f>
        <v>19</v>
      </c>
      <c r="BT24" s="109"/>
      <c r="BU24" s="4">
        <v>72.33</v>
      </c>
      <c r="BV24" s="103">
        <f t="shared" si="9"/>
        <v>72.33</v>
      </c>
      <c r="BW24" s="20"/>
      <c r="BX24" s="104">
        <f t="shared" si="55"/>
        <v>694.6</v>
      </c>
      <c r="BY24" s="104">
        <f t="shared" si="56"/>
        <v>694.6</v>
      </c>
      <c r="BZ24" s="105">
        <f ca="1">IF(OR(BU24&lt;&gt;"",BW24&lt;&gt;""),RANK(BY24,BY$11:INDIRECT(BY$7,FALSE)),"")</f>
        <v>20</v>
      </c>
      <c r="CA24" s="106"/>
      <c r="CB24" s="107">
        <f t="shared" si="10"/>
        <v>3219.3999999999996</v>
      </c>
      <c r="CC24" s="110">
        <f>IF(AND($F$8&lt;6,CB24&lt;&gt;""),HLOOKUP(MATCH(ET24,EZ24:FD24,0),Discards,1,FALSE),"")</f>
        <v>5</v>
      </c>
      <c r="CD24" s="107">
        <f t="shared" si="57"/>
        <v>3219.3999999999996</v>
      </c>
      <c r="CE24" s="108">
        <f ca="1">IF(OR(BU24&lt;&gt;"",BW24&lt;&gt;""),RANK(CD24,CD$11:INDIRECT(CD$7,FALSE)),"")</f>
        <v>20</v>
      </c>
      <c r="CF24" s="109"/>
      <c r="CG24" s="4">
        <v>72.04</v>
      </c>
      <c r="CH24" s="103">
        <f t="shared" si="11"/>
        <v>72.04</v>
      </c>
      <c r="CI24" s="20"/>
      <c r="CJ24" s="104">
        <f t="shared" si="58"/>
        <v>871.6</v>
      </c>
      <c r="CK24" s="104">
        <f t="shared" si="59"/>
        <v>871.6</v>
      </c>
      <c r="CL24" s="105">
        <f ca="1">IF(OR(CG24&lt;&gt;"",CI24&lt;&gt;""),RANK(CK24,CK$11:INDIRECT(CK$7,FALSE)),"")</f>
        <v>18</v>
      </c>
      <c r="CM24" s="106"/>
      <c r="CN24" s="107">
        <f t="shared" si="12"/>
        <v>4090.9999999999995</v>
      </c>
      <c r="CO24" s="110">
        <f>IF(AND($F$8&lt;7,CN24&lt;&gt;""),HLOOKUP(MATCH(EU24,EZ24:FE24,0),Discards,1,FALSE),"")</f>
        <v>5</v>
      </c>
      <c r="CP24" s="107">
        <f t="shared" si="60"/>
        <v>4090.9999999999995</v>
      </c>
      <c r="CQ24" s="108">
        <f ca="1">IF(OR(CG24&lt;&gt;"",CI24&lt;&gt;""),RANK(CP24,CP$11:INDIRECT(CP$7,FALSE)),"")</f>
        <v>19</v>
      </c>
      <c r="CR24" s="109"/>
      <c r="CS24" s="4"/>
      <c r="CT24" s="103">
        <f t="shared" si="13"/>
      </c>
      <c r="CU24" s="20"/>
      <c r="CV24" s="104">
        <f t="shared" si="61"/>
      </c>
      <c r="CW24" s="104">
        <f t="shared" si="62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3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4"/>
      </c>
      <c r="DI24" s="104">
        <f t="shared" si="65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6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21"/>
        <v>1</v>
      </c>
      <c r="EQ24" s="28">
        <f>MIN($EZ24:FA24)</f>
        <v>733.3</v>
      </c>
      <c r="ER24" s="28">
        <f>MIN($EZ24:FB24)</f>
        <v>733.3</v>
      </c>
      <c r="ES24" s="28">
        <f>MIN($EZ24:FC24)</f>
        <v>733.3</v>
      </c>
      <c r="ET24" s="28">
        <f>MIN($EZ24:FD24)</f>
        <v>694.6</v>
      </c>
      <c r="EU24" s="28">
        <f>MIN($EZ24:FE24)</f>
        <v>694.6</v>
      </c>
      <c r="EV24" s="28">
        <f>MIN($EZ24:FF24)</f>
        <v>694.6</v>
      </c>
      <c r="EW24" s="28">
        <f>MIN($EZ24:FG24)</f>
        <v>694.6</v>
      </c>
      <c r="EX24" s="28">
        <f>MIN($EZ24:FH24)</f>
        <v>694.6</v>
      </c>
      <c r="EY24" s="28">
        <f>MIN($EZ24:FI24)</f>
        <v>694.6</v>
      </c>
      <c r="EZ24" s="28">
        <f t="shared" si="22"/>
        <v>804.6</v>
      </c>
      <c r="FA24" s="28">
        <f t="shared" si="23"/>
        <v>733.3</v>
      </c>
      <c r="FB24" s="28">
        <f t="shared" si="24"/>
        <v>861.8</v>
      </c>
      <c r="FC24" s="28">
        <f t="shared" si="25"/>
        <v>819.7</v>
      </c>
      <c r="FD24" s="28">
        <f t="shared" si="26"/>
        <v>694.6</v>
      </c>
      <c r="FE24" s="28">
        <f t="shared" si="27"/>
        <v>871.6</v>
      </c>
      <c r="FF24" s="28">
        <f t="shared" si="28"/>
      </c>
      <c r="FG24" s="28">
        <f t="shared" si="29"/>
      </c>
      <c r="FH24" s="28">
        <f t="shared" si="30"/>
      </c>
      <c r="FI24" s="28">
        <f t="shared" si="31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2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3"/>
      </c>
      <c r="GD24" s="27">
        <f t="shared" si="34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109</v>
      </c>
      <c r="D25" s="19"/>
      <c r="E25" s="18"/>
      <c r="F25" s="18"/>
      <c r="G25" s="148"/>
      <c r="H25" s="122">
        <f t="shared" si="35"/>
      </c>
      <c r="I25" s="30">
        <f t="shared" si="36"/>
        <v>4054.300000000001</v>
      </c>
      <c r="J25" s="30">
        <f>AD25+AO25+BA25+BM25+BY25+CK25+CW25+DI25+DU25+EG25-(MIN(EZ25:FI25)*$EY$2)</f>
        <v>4054.300000000001</v>
      </c>
      <c r="K25" s="139">
        <f ca="1">IF(I25&lt;&gt;"",RANK(I25,J$11:INDIRECT(J$7,FALSE)),"")</f>
        <v>20</v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69.07</v>
      </c>
      <c r="AA25" s="103">
        <f t="shared" si="42"/>
        <v>69.07</v>
      </c>
      <c r="AB25" s="20"/>
      <c r="AC25" s="104">
        <f t="shared" si="43"/>
        <v>878.1</v>
      </c>
      <c r="AD25" s="104">
        <f t="shared" si="44"/>
        <v>878.1</v>
      </c>
      <c r="AE25" s="105">
        <f ca="1">IF(OR(Z25&lt;&gt;"",AB25&lt;&gt;""),RANK(AD25,AD$11:INDIRECT(AD$7,FALSE)),"")</f>
        <v>8</v>
      </c>
      <c r="AF25" s="106"/>
      <c r="AG25" s="107">
        <f t="shared" si="45"/>
        <v>878.1</v>
      </c>
      <c r="AH25" s="107">
        <f t="shared" si="46"/>
        <v>878.1</v>
      </c>
      <c r="AI25" s="108">
        <f ca="1">IF(OR(Z25&lt;&gt;"",AB25&lt;&gt;""),RANK(AH25,AH$11:INDIRECT(AH$7,FALSE)),"")</f>
        <v>8</v>
      </c>
      <c r="AJ25" s="109"/>
      <c r="AK25" s="4">
        <v>70.41</v>
      </c>
      <c r="AL25" s="103">
        <f t="shared" si="2"/>
        <v>70.41</v>
      </c>
      <c r="AM25" s="20"/>
      <c r="AN25" s="104">
        <f t="shared" si="47"/>
        <v>806.1</v>
      </c>
      <c r="AO25" s="104">
        <f t="shared" si="48"/>
        <v>806.1</v>
      </c>
      <c r="AP25" s="105">
        <f ca="1">IF(OR(AK25&lt;&gt;"",AM25&lt;&gt;""),RANK(AO25,AO$11:INDIRECT(AO$7,FALSE)),"")</f>
        <v>14</v>
      </c>
      <c r="AQ25" s="106"/>
      <c r="AR25" s="107">
        <f t="shared" si="3"/>
        <v>1684.2</v>
      </c>
      <c r="AS25" s="110">
        <f>IF(AND($F$8&lt;3,AR25&lt;&gt;""),HLOOKUP(MATCH(EQ25,EZ25:FA25,0),Discards,1,FALSE),"")</f>
      </c>
      <c r="AT25" s="107">
        <f t="shared" si="4"/>
        <v>1684.2</v>
      </c>
      <c r="AU25" s="108">
        <f ca="1">IF(OR(AK25&lt;&gt;"",AM25&lt;&gt;""),RANK(AT25,AT$11:INDIRECT(AT$7,FALSE)),"")</f>
        <v>8</v>
      </c>
      <c r="AV25" s="109"/>
      <c r="AW25" s="4">
        <v>83.28</v>
      </c>
      <c r="AX25" s="103">
        <f t="shared" si="5"/>
        <v>83.28</v>
      </c>
      <c r="AY25" s="20"/>
      <c r="AZ25" s="104">
        <f t="shared" si="49"/>
        <v>727.1</v>
      </c>
      <c r="BA25" s="104">
        <f t="shared" si="50"/>
        <v>727.1</v>
      </c>
      <c r="BB25" s="105">
        <f ca="1">IF(OR(AW25&lt;&gt;"",AY25&lt;&gt;""),RANK(BA25,BA$11:INDIRECT(BA$7,FALSE)),"")</f>
        <v>24</v>
      </c>
      <c r="BC25" s="106"/>
      <c r="BD25" s="107">
        <f t="shared" si="6"/>
        <v>2411.3</v>
      </c>
      <c r="BE25" s="110">
        <f>IF(AND($F$8&lt;4,BD25&lt;&gt;""),HLOOKUP(MATCH(ER25,EZ25:FB25,0),Discards,1,FALSE),"")</f>
      </c>
      <c r="BF25" s="107">
        <f t="shared" si="51"/>
        <v>2411.3</v>
      </c>
      <c r="BG25" s="108">
        <f ca="1">IF(OR(AW25&lt;&gt;"",AY25&lt;&gt;""),RANK(BF25,BF$11:INDIRECT(BF$7,FALSE)),"")</f>
        <v>20</v>
      </c>
      <c r="BH25" s="109"/>
      <c r="BI25" s="4">
        <v>63.08</v>
      </c>
      <c r="BJ25" s="103">
        <f t="shared" si="7"/>
        <v>63.08</v>
      </c>
      <c r="BK25" s="20"/>
      <c r="BL25" s="104">
        <f t="shared" si="52"/>
        <v>851.9</v>
      </c>
      <c r="BM25" s="104">
        <f t="shared" si="53"/>
        <v>851.9</v>
      </c>
      <c r="BN25" s="105">
        <f ca="1">IF(OR(BI25&lt;&gt;"",BK25&lt;&gt;""),RANK(BM25,BM$11:INDIRECT(BM$7,FALSE)),"")</f>
        <v>11</v>
      </c>
      <c r="BO25" s="106"/>
      <c r="BP25" s="107">
        <f t="shared" si="8"/>
        <v>3263.2000000000003</v>
      </c>
      <c r="BQ25" s="110">
        <f>IF(AND($F$8&lt;5,BP25&lt;&gt;""),HLOOKUP(MATCH(ES25,EZ25:FC25,0),Discards,1,FALSE),"")</f>
      </c>
      <c r="BR25" s="107">
        <f t="shared" si="54"/>
        <v>3263.2000000000003</v>
      </c>
      <c r="BS25" s="108">
        <f ca="1">IF(OR(BI25&lt;&gt;"",BK25&lt;&gt;""),RANK(BR25,BR$11:INDIRECT(BR$7,FALSE)),"")</f>
        <v>18</v>
      </c>
      <c r="BT25" s="109"/>
      <c r="BU25" s="4">
        <v>71.44</v>
      </c>
      <c r="BV25" s="103">
        <f t="shared" si="9"/>
        <v>71.44</v>
      </c>
      <c r="BW25" s="20"/>
      <c r="BX25" s="104">
        <f t="shared" si="55"/>
        <v>703.2</v>
      </c>
      <c r="BY25" s="104">
        <f t="shared" si="56"/>
        <v>703.2</v>
      </c>
      <c r="BZ25" s="105">
        <f ca="1">IF(OR(BU25&lt;&gt;"",BW25&lt;&gt;""),RANK(BY25,BY$11:INDIRECT(BY$7,FALSE)),"")</f>
        <v>18</v>
      </c>
      <c r="CA25" s="106"/>
      <c r="CB25" s="107">
        <f t="shared" si="10"/>
        <v>3263.2000000000007</v>
      </c>
      <c r="CC25" s="110">
        <f>IF(AND($F$8&lt;6,CB25&lt;&gt;""),HLOOKUP(MATCH(ET25,EZ25:FD25,0),Discards,1,FALSE),"")</f>
        <v>5</v>
      </c>
      <c r="CD25" s="107">
        <f t="shared" si="57"/>
        <v>3263.2000000000007</v>
      </c>
      <c r="CE25" s="108">
        <f ca="1">IF(OR(BU25&lt;&gt;"",BW25&lt;&gt;""),RANK(CD25,CD$11:INDIRECT(CD$7,FALSE)),"")</f>
        <v>19</v>
      </c>
      <c r="CF25" s="109"/>
      <c r="CG25" s="4">
        <v>79.37</v>
      </c>
      <c r="CH25" s="103">
        <f t="shared" si="11"/>
        <v>79.37</v>
      </c>
      <c r="CI25" s="20"/>
      <c r="CJ25" s="104">
        <f t="shared" si="58"/>
        <v>791.1</v>
      </c>
      <c r="CK25" s="104">
        <f t="shared" si="59"/>
        <v>791.1</v>
      </c>
      <c r="CL25" s="105">
        <f ca="1">IF(OR(CG25&lt;&gt;"",CI25&lt;&gt;""),RANK(CK25,CK$11:INDIRECT(CK$7,FALSE)),"")</f>
        <v>22</v>
      </c>
      <c r="CM25" s="106"/>
      <c r="CN25" s="107">
        <f t="shared" si="12"/>
        <v>4054.300000000001</v>
      </c>
      <c r="CO25" s="110">
        <f>IF(AND($F$8&lt;7,CN25&lt;&gt;""),HLOOKUP(MATCH(EU25,EZ25:FE25,0),Discards,1,FALSE),"")</f>
        <v>5</v>
      </c>
      <c r="CP25" s="107">
        <f t="shared" si="60"/>
        <v>4054.300000000001</v>
      </c>
      <c r="CQ25" s="108">
        <f ca="1">IF(OR(CG25&lt;&gt;"",CI25&lt;&gt;""),RANK(CP25,CP$11:INDIRECT(CP$7,FALSE)),"")</f>
        <v>20</v>
      </c>
      <c r="CR25" s="109"/>
      <c r="CS25" s="4"/>
      <c r="CT25" s="103">
        <f t="shared" si="13"/>
      </c>
      <c r="CU25" s="20"/>
      <c r="CV25" s="104">
        <f t="shared" si="61"/>
      </c>
      <c r="CW25" s="104">
        <f t="shared" si="62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3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21"/>
        <v>1</v>
      </c>
      <c r="EQ25" s="28">
        <f>MIN($EZ25:FA25)</f>
        <v>806.1</v>
      </c>
      <c r="ER25" s="28">
        <f>MIN($EZ25:FB25)</f>
        <v>727.1</v>
      </c>
      <c r="ES25" s="28">
        <f>MIN($EZ25:FC25)</f>
        <v>727.1</v>
      </c>
      <c r="ET25" s="28">
        <f>MIN($EZ25:FD25)</f>
        <v>703.2</v>
      </c>
      <c r="EU25" s="28">
        <f>MIN($EZ25:FE25)</f>
        <v>703.2</v>
      </c>
      <c r="EV25" s="28">
        <f>MIN($EZ25:FF25)</f>
        <v>703.2</v>
      </c>
      <c r="EW25" s="28">
        <f>MIN($EZ25:FG25)</f>
        <v>703.2</v>
      </c>
      <c r="EX25" s="28">
        <f>MIN($EZ25:FH25)</f>
        <v>703.2</v>
      </c>
      <c r="EY25" s="28">
        <f>MIN($EZ25:FI25)</f>
        <v>703.2</v>
      </c>
      <c r="EZ25" s="28">
        <f t="shared" si="22"/>
        <v>878.1</v>
      </c>
      <c r="FA25" s="28">
        <f t="shared" si="23"/>
        <v>806.1</v>
      </c>
      <c r="FB25" s="28">
        <f t="shared" si="24"/>
        <v>727.1</v>
      </c>
      <c r="FC25" s="28">
        <f t="shared" si="25"/>
        <v>851.9</v>
      </c>
      <c r="FD25" s="28">
        <f t="shared" si="26"/>
        <v>703.2</v>
      </c>
      <c r="FE25" s="28">
        <f t="shared" si="27"/>
        <v>791.1</v>
      </c>
      <c r="FF25" s="28">
        <f t="shared" si="28"/>
      </c>
      <c r="FG25" s="28">
        <f t="shared" si="29"/>
      </c>
      <c r="FH25" s="28">
        <f t="shared" si="30"/>
      </c>
      <c r="FI25" s="28">
        <f t="shared" si="31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2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3"/>
      </c>
      <c r="GD25" s="27">
        <f t="shared" si="34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98</v>
      </c>
      <c r="D26" s="135"/>
      <c r="E26" s="134"/>
      <c r="F26" s="134"/>
      <c r="G26" s="149"/>
      <c r="H26" s="136">
        <f t="shared" si="35"/>
      </c>
      <c r="I26" s="137">
        <f t="shared" si="36"/>
        <v>3985.1</v>
      </c>
      <c r="J26" s="137">
        <f>AD26+AO26+BA26+BM26+BY26+CK26+CW26+DI26+DU26+EG26-(MIN(EZ26:FI26)*$EY$2)</f>
        <v>3985.1</v>
      </c>
      <c r="K26" s="140">
        <f ca="1">IF(I26&lt;&gt;"",RANK(I26,J$11:INDIRECT(J$7,FALSE)),"")</f>
        <v>22</v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67.16</v>
      </c>
      <c r="AA26" s="113">
        <f t="shared" si="42"/>
        <v>67.16</v>
      </c>
      <c r="AB26" s="21"/>
      <c r="AC26" s="114">
        <f t="shared" si="43"/>
        <v>903.1</v>
      </c>
      <c r="AD26" s="114">
        <f t="shared" si="44"/>
        <v>903.1</v>
      </c>
      <c r="AE26" s="115">
        <f ca="1">IF(OR(Z26&lt;&gt;"",AB26&lt;&gt;""),RANK(AD26,AD$11:INDIRECT(AD$7,FALSE)),"")</f>
        <v>4</v>
      </c>
      <c r="AF26" s="116"/>
      <c r="AG26" s="117">
        <f t="shared" si="45"/>
        <v>903.1</v>
      </c>
      <c r="AH26" s="117">
        <f t="shared" si="46"/>
        <v>903.1</v>
      </c>
      <c r="AI26" s="118">
        <f ca="1">IF(OR(Z26&lt;&gt;"",AB26&lt;&gt;""),RANK(AH26,AH$11:INDIRECT(AH$7,FALSE)),"")</f>
        <v>4</v>
      </c>
      <c r="AJ26" s="119"/>
      <c r="AK26" s="5">
        <v>77.8</v>
      </c>
      <c r="AL26" s="113">
        <f t="shared" si="2"/>
        <v>77.8</v>
      </c>
      <c r="AM26" s="21"/>
      <c r="AN26" s="114">
        <f t="shared" si="47"/>
        <v>729.6</v>
      </c>
      <c r="AO26" s="114">
        <f t="shared" si="48"/>
        <v>729.6</v>
      </c>
      <c r="AP26" s="115">
        <f ca="1">IF(OR(AK26&lt;&gt;"",AM26&lt;&gt;""),RANK(AO26,AO$11:INDIRECT(AO$7,FALSE)),"")</f>
        <v>23</v>
      </c>
      <c r="AQ26" s="116"/>
      <c r="AR26" s="117">
        <f t="shared" si="3"/>
        <v>1632.7</v>
      </c>
      <c r="AS26" s="120">
        <f>IF(AND($F$8&lt;3,AR26&lt;&gt;""),HLOOKUP(MATCH(EQ26,EZ26:FA26,0),Discards,1,FALSE),"")</f>
      </c>
      <c r="AT26" s="117">
        <f t="shared" si="4"/>
        <v>1632.7</v>
      </c>
      <c r="AU26" s="118">
        <f ca="1">IF(OR(AK26&lt;&gt;"",AM26&lt;&gt;""),RANK(AT26,AT$11:INDIRECT(AT$7,FALSE)),"")</f>
        <v>17</v>
      </c>
      <c r="AV26" s="119"/>
      <c r="AW26" s="5">
        <v>75.73</v>
      </c>
      <c r="AX26" s="113">
        <f t="shared" si="5"/>
        <v>75.73</v>
      </c>
      <c r="AY26" s="21"/>
      <c r="AZ26" s="114">
        <f t="shared" si="49"/>
        <v>799.6</v>
      </c>
      <c r="BA26" s="114">
        <f t="shared" si="50"/>
        <v>799.6</v>
      </c>
      <c r="BB26" s="115">
        <f ca="1">IF(OR(AW26&lt;&gt;"",AY26&lt;&gt;""),RANK(BA26,BA$11:INDIRECT(BA$7,FALSE)),"")</f>
        <v>21</v>
      </c>
      <c r="BC26" s="116"/>
      <c r="BD26" s="117">
        <f t="shared" si="6"/>
        <v>2432.3</v>
      </c>
      <c r="BE26" s="120">
        <f>IF(AND($F$8&lt;4,BD26&lt;&gt;""),HLOOKUP(MATCH(ER26,EZ26:FB26,0),Discards,1,FALSE),"")</f>
      </c>
      <c r="BF26" s="117">
        <f t="shared" si="51"/>
        <v>2432.3</v>
      </c>
      <c r="BG26" s="118">
        <f ca="1">IF(OR(AW26&lt;&gt;"",AY26&lt;&gt;""),RANK(BF26,BF$11:INDIRECT(BF$7,FALSE)),"")</f>
        <v>19</v>
      </c>
      <c r="BH26" s="119"/>
      <c r="BI26" s="5">
        <v>75.51</v>
      </c>
      <c r="BJ26" s="113">
        <f t="shared" si="7"/>
        <v>75.51</v>
      </c>
      <c r="BK26" s="21"/>
      <c r="BL26" s="114">
        <f t="shared" si="52"/>
        <v>711.7</v>
      </c>
      <c r="BM26" s="114">
        <f t="shared" si="53"/>
        <v>711.7</v>
      </c>
      <c r="BN26" s="115">
        <f ca="1">IF(OR(BI26&lt;&gt;"",BK26&lt;&gt;""),RANK(BM26,BM$11:INDIRECT(BM$7,FALSE)),"")</f>
        <v>25</v>
      </c>
      <c r="BO26" s="116"/>
      <c r="BP26" s="117">
        <f t="shared" si="8"/>
        <v>3144</v>
      </c>
      <c r="BQ26" s="120">
        <f>IF(AND($F$8&lt;5,BP26&lt;&gt;""),HLOOKUP(MATCH(ES26,EZ26:FC26,0),Discards,1,FALSE),"")</f>
      </c>
      <c r="BR26" s="117">
        <f t="shared" si="54"/>
        <v>3144</v>
      </c>
      <c r="BS26" s="118">
        <f ca="1">IF(OR(BI26&lt;&gt;"",BK26&lt;&gt;""),RANK(BR26,BR$11:INDIRECT(BR$7,FALSE)),"")</f>
        <v>21</v>
      </c>
      <c r="BT26" s="119"/>
      <c r="BU26" s="5">
        <v>70.85</v>
      </c>
      <c r="BV26" s="113">
        <f t="shared" si="9"/>
        <v>70.85</v>
      </c>
      <c r="BW26" s="21"/>
      <c r="BX26" s="114">
        <f t="shared" si="55"/>
        <v>709.1</v>
      </c>
      <c r="BY26" s="114">
        <f t="shared" si="56"/>
        <v>709.1</v>
      </c>
      <c r="BZ26" s="115">
        <f ca="1">IF(OR(BU26&lt;&gt;"",BW26&lt;&gt;""),RANK(BY26,BY$11:INDIRECT(BY$7,FALSE)),"")</f>
        <v>16</v>
      </c>
      <c r="CA26" s="116"/>
      <c r="CB26" s="117">
        <f t="shared" si="10"/>
        <v>3144</v>
      </c>
      <c r="CC26" s="120">
        <f>IF(AND($F$8&lt;6,CB26&lt;&gt;""),HLOOKUP(MATCH(ET26,EZ26:FD26,0),Discards,1,FALSE),"")</f>
        <v>5</v>
      </c>
      <c r="CD26" s="117">
        <f t="shared" si="57"/>
        <v>3144</v>
      </c>
      <c r="CE26" s="118">
        <f ca="1">IF(OR(BU26&lt;&gt;"",BW26&lt;&gt;""),RANK(CD26,CD$11:INDIRECT(CD$7,FALSE)),"")</f>
        <v>21</v>
      </c>
      <c r="CF26" s="119"/>
      <c r="CG26" s="5">
        <v>74.65</v>
      </c>
      <c r="CH26" s="113">
        <f t="shared" si="11"/>
        <v>74.65</v>
      </c>
      <c r="CI26" s="21"/>
      <c r="CJ26" s="114">
        <f t="shared" si="58"/>
        <v>841.1</v>
      </c>
      <c r="CK26" s="114">
        <f t="shared" si="59"/>
        <v>841.1</v>
      </c>
      <c r="CL26" s="115">
        <f ca="1">IF(OR(CG26&lt;&gt;"",CI26&lt;&gt;""),RANK(CK26,CK$11:INDIRECT(CK$7,FALSE)),"")</f>
        <v>20</v>
      </c>
      <c r="CM26" s="116"/>
      <c r="CN26" s="117">
        <f t="shared" si="12"/>
        <v>3985.1</v>
      </c>
      <c r="CO26" s="120">
        <f>IF(AND($F$8&lt;7,CN26&lt;&gt;""),HLOOKUP(MATCH(EU26,EZ26:FE26,0),Discards,1,FALSE),"")</f>
        <v>5</v>
      </c>
      <c r="CP26" s="117">
        <f t="shared" si="60"/>
        <v>3985.1</v>
      </c>
      <c r="CQ26" s="118">
        <f ca="1">IF(OR(CG26&lt;&gt;"",CI26&lt;&gt;""),RANK(CP26,CP$11:INDIRECT(CP$7,FALSE)),"")</f>
        <v>22</v>
      </c>
      <c r="CR26" s="119"/>
      <c r="CS26" s="5"/>
      <c r="CT26" s="113">
        <f t="shared" si="13"/>
      </c>
      <c r="CU26" s="21"/>
      <c r="CV26" s="114">
        <f t="shared" si="61"/>
      </c>
      <c r="CW26" s="114">
        <f t="shared" si="62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3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21"/>
        <v>1</v>
      </c>
      <c r="EQ26" s="28">
        <f>MIN($EZ26:FA26)</f>
        <v>729.6</v>
      </c>
      <c r="ER26" s="28">
        <f>MIN($EZ26:FB26)</f>
        <v>729.6</v>
      </c>
      <c r="ES26" s="28">
        <f>MIN($EZ26:FC26)</f>
        <v>711.7</v>
      </c>
      <c r="ET26" s="28">
        <f>MIN($EZ26:FD26)</f>
        <v>709.1</v>
      </c>
      <c r="EU26" s="28">
        <f>MIN($EZ26:FE26)</f>
        <v>709.1</v>
      </c>
      <c r="EV26" s="28">
        <f>MIN($EZ26:FF26)</f>
        <v>709.1</v>
      </c>
      <c r="EW26" s="28">
        <f>MIN($EZ26:FG26)</f>
        <v>709.1</v>
      </c>
      <c r="EX26" s="28">
        <f>MIN($EZ26:FH26)</f>
        <v>709.1</v>
      </c>
      <c r="EY26" s="28">
        <f>MIN($EZ26:FI26)</f>
        <v>709.1</v>
      </c>
      <c r="EZ26" s="28">
        <f t="shared" si="22"/>
        <v>903.1</v>
      </c>
      <c r="FA26" s="28">
        <f t="shared" si="23"/>
        <v>729.6</v>
      </c>
      <c r="FB26" s="28">
        <f t="shared" si="24"/>
        <v>799.6</v>
      </c>
      <c r="FC26" s="28">
        <f t="shared" si="25"/>
        <v>711.7</v>
      </c>
      <c r="FD26" s="28">
        <f t="shared" si="26"/>
        <v>709.1</v>
      </c>
      <c r="FE26" s="28">
        <f t="shared" si="27"/>
        <v>841.1</v>
      </c>
      <c r="FF26" s="28">
        <f t="shared" si="28"/>
      </c>
      <c r="FG26" s="28">
        <f t="shared" si="29"/>
      </c>
      <c r="FH26" s="28">
        <f t="shared" si="30"/>
      </c>
      <c r="FI26" s="28">
        <f t="shared" si="31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2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3"/>
      </c>
      <c r="GD26" s="27">
        <f t="shared" si="34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110</v>
      </c>
      <c r="D27" s="135"/>
      <c r="E27" s="134"/>
      <c r="F27" s="134"/>
      <c r="G27" s="149"/>
      <c r="H27" s="136">
        <f t="shared" si="35"/>
      </c>
      <c r="I27" s="137">
        <f t="shared" si="36"/>
        <v>4264.3</v>
      </c>
      <c r="J27" s="137">
        <f>AD27+AO27+BA27+BM27+BY27+CK27+CW27+DI27+DU27+EG27-(MIN(EZ27:FI27)*$EY$2)</f>
        <v>4264.3</v>
      </c>
      <c r="K27" s="140">
        <f ca="1">IF(I27&lt;&gt;"",RANK(I27,J$11:INDIRECT(J$7,FALSE)),"")</f>
        <v>16</v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68.24</v>
      </c>
      <c r="AA27" s="113">
        <f t="shared" si="42"/>
        <v>68.24</v>
      </c>
      <c r="AB27" s="21"/>
      <c r="AC27" s="114">
        <f t="shared" si="43"/>
        <v>888.8</v>
      </c>
      <c r="AD27" s="114">
        <f t="shared" si="44"/>
        <v>888.8</v>
      </c>
      <c r="AE27" s="115">
        <f ca="1">IF(OR(Z27&lt;&gt;"",AB27&lt;&gt;""),RANK(AD27,AD$11:INDIRECT(AD$7,FALSE)),"")</f>
        <v>6</v>
      </c>
      <c r="AF27" s="116"/>
      <c r="AG27" s="117">
        <f t="shared" si="45"/>
        <v>888.8</v>
      </c>
      <c r="AH27" s="117">
        <f t="shared" si="46"/>
        <v>888.8</v>
      </c>
      <c r="AI27" s="118">
        <f ca="1">IF(OR(Z27&lt;&gt;"",AB27&lt;&gt;""),RANK(AH27,AH$11:INDIRECT(AH$7,FALSE)),"")</f>
        <v>6</v>
      </c>
      <c r="AJ27" s="119"/>
      <c r="AK27" s="5">
        <v>76.15</v>
      </c>
      <c r="AL27" s="113">
        <f t="shared" si="2"/>
        <v>76.15</v>
      </c>
      <c r="AM27" s="21"/>
      <c r="AN27" s="114">
        <f t="shared" si="47"/>
        <v>745.4</v>
      </c>
      <c r="AO27" s="114">
        <f t="shared" si="48"/>
        <v>745.4</v>
      </c>
      <c r="AP27" s="115">
        <f ca="1">IF(OR(AK27&lt;&gt;"",AM27&lt;&gt;""),RANK(AO27,AO$11:INDIRECT(AO$7,FALSE)),"")</f>
        <v>19</v>
      </c>
      <c r="AQ27" s="116"/>
      <c r="AR27" s="117">
        <f t="shared" si="3"/>
        <v>1634.1999999999998</v>
      </c>
      <c r="AS27" s="120">
        <f>IF(AND($F$8&lt;3,AR27&lt;&gt;""),HLOOKUP(MATCH(EQ27,EZ27:FA27,0),Discards,1,FALSE),"")</f>
      </c>
      <c r="AT27" s="117">
        <f t="shared" si="4"/>
        <v>1634.1999999999998</v>
      </c>
      <c r="AU27" s="118">
        <f ca="1">IF(OR(AK27&lt;&gt;"",AM27&lt;&gt;""),RANK(AT27,AT$11:INDIRECT(AT$7,FALSE)),"")</f>
        <v>15</v>
      </c>
      <c r="AV27" s="119"/>
      <c r="AW27" s="5">
        <v>70.51</v>
      </c>
      <c r="AX27" s="113">
        <f aca="true" t="shared" si="95" ref="AX27:AX42">IF(AW27,AW27,"")</f>
        <v>70.51</v>
      </c>
      <c r="AY27" s="21"/>
      <c r="AZ27" s="114">
        <f t="shared" si="49"/>
        <v>858.7</v>
      </c>
      <c r="BA27" s="114">
        <f t="shared" si="50"/>
        <v>858.7</v>
      </c>
      <c r="BB27" s="115">
        <f ca="1">IF(OR(AW27&lt;&gt;"",AY27&lt;&gt;""),RANK(BA27,BA$11:INDIRECT(BA$7,FALSE)),"")</f>
        <v>15</v>
      </c>
      <c r="BC27" s="116"/>
      <c r="BD27" s="117">
        <f t="shared" si="6"/>
        <v>2492.8999999999996</v>
      </c>
      <c r="BE27" s="120">
        <f>IF(AND($F$8&lt;4,BD27&lt;&gt;""),HLOOKUP(MATCH(ER27,EZ27:FB27,0),Discards,1,FALSE),"")</f>
      </c>
      <c r="BF27" s="117">
        <f t="shared" si="51"/>
        <v>2492.8999999999996</v>
      </c>
      <c r="BG27" s="118">
        <f ca="1">IF(OR(AW27&lt;&gt;"",AY27&lt;&gt;""),RANK(BF27,BF$11:INDIRECT(BF$7,FALSE)),"")</f>
        <v>14</v>
      </c>
      <c r="BH27" s="119"/>
      <c r="BI27" s="5">
        <v>64.1</v>
      </c>
      <c r="BJ27" s="113">
        <f aca="true" t="shared" si="96" ref="BJ27:BJ42">IF(BI27,BI27,"")</f>
        <v>64.1</v>
      </c>
      <c r="BK27" s="21"/>
      <c r="BL27" s="114">
        <f t="shared" si="52"/>
        <v>838.4</v>
      </c>
      <c r="BM27" s="114">
        <f t="shared" si="53"/>
        <v>838.4</v>
      </c>
      <c r="BN27" s="115">
        <f ca="1">IF(OR(BI27&lt;&gt;"",BK27&lt;&gt;""),RANK(BM27,BM$11:INDIRECT(BM$7,FALSE)),"")</f>
        <v>12</v>
      </c>
      <c r="BO27" s="116"/>
      <c r="BP27" s="117">
        <f t="shared" si="8"/>
        <v>3331.2999999999997</v>
      </c>
      <c r="BQ27" s="120">
        <f>IF(AND($F$8&lt;5,BP27&lt;&gt;""),HLOOKUP(MATCH(ES27,EZ27:FC27,0),Discards,1,FALSE),"")</f>
      </c>
      <c r="BR27" s="117">
        <f t="shared" si="54"/>
        <v>3331.2999999999997</v>
      </c>
      <c r="BS27" s="118">
        <f ca="1">IF(OR(BI27&lt;&gt;"",BK27&lt;&gt;""),RANK(BR27,BR$11:INDIRECT(BR$7,FALSE)),"")</f>
        <v>15</v>
      </c>
      <c r="BT27" s="119"/>
      <c r="BU27" s="5">
        <v>66.11</v>
      </c>
      <c r="BV27" s="113">
        <f aca="true" t="shared" si="97" ref="BV27:BV42">IF(BU27,BU27,"")</f>
        <v>66.11</v>
      </c>
      <c r="BW27" s="21"/>
      <c r="BX27" s="114">
        <f t="shared" si="55"/>
        <v>759.9</v>
      </c>
      <c r="BY27" s="114">
        <f t="shared" si="56"/>
        <v>759.9</v>
      </c>
      <c r="BZ27" s="115">
        <f ca="1">IF(OR(BU27&lt;&gt;"",BW27&lt;&gt;""),RANK(BY27,BY$11:INDIRECT(BY$7,FALSE)),"")</f>
        <v>12</v>
      </c>
      <c r="CA27" s="116"/>
      <c r="CB27" s="117">
        <f t="shared" si="10"/>
        <v>3345.7999999999997</v>
      </c>
      <c r="CC27" s="120">
        <f>IF(AND($F$8&lt;6,CB27&lt;&gt;""),HLOOKUP(MATCH(ET27,EZ27:FD27,0),Discards,1,FALSE),"")</f>
        <v>2</v>
      </c>
      <c r="CD27" s="117">
        <f t="shared" si="57"/>
        <v>3345.7999999999997</v>
      </c>
      <c r="CE27" s="118">
        <f ca="1">IF(OR(BU27&lt;&gt;"",BW27&lt;&gt;""),RANK(CD27,CD$11:INDIRECT(CD$7,FALSE)),"")</f>
        <v>16</v>
      </c>
      <c r="CF27" s="119"/>
      <c r="CG27" s="5">
        <v>68.36</v>
      </c>
      <c r="CH27" s="113">
        <f aca="true" t="shared" si="98" ref="CH27:CH42">IF(CG27,CG27,"")</f>
        <v>68.36</v>
      </c>
      <c r="CI27" s="21"/>
      <c r="CJ27" s="114">
        <f t="shared" si="58"/>
        <v>918.5</v>
      </c>
      <c r="CK27" s="114">
        <f t="shared" si="59"/>
        <v>918.5</v>
      </c>
      <c r="CL27" s="115">
        <f ca="1">IF(OR(CG27&lt;&gt;"",CI27&lt;&gt;""),RANK(CK27,CK$11:INDIRECT(CK$7,FALSE)),"")</f>
        <v>12</v>
      </c>
      <c r="CM27" s="116"/>
      <c r="CN27" s="117">
        <f t="shared" si="12"/>
        <v>4264.3</v>
      </c>
      <c r="CO27" s="120">
        <f>IF(AND($F$8&lt;7,CN27&lt;&gt;""),HLOOKUP(MATCH(EU27,EZ27:FE27,0),Discards,1,FALSE),"")</f>
        <v>2</v>
      </c>
      <c r="CP27" s="117">
        <f t="shared" si="60"/>
        <v>4264.3</v>
      </c>
      <c r="CQ27" s="118">
        <f ca="1">IF(OR(CG27&lt;&gt;"",CI27&lt;&gt;""),RANK(CP27,CP$11:INDIRECT(CP$7,FALSE)),"")</f>
        <v>16</v>
      </c>
      <c r="CR27" s="119"/>
      <c r="CS27" s="5"/>
      <c r="CT27" s="113">
        <f aca="true" t="shared" si="99" ref="CT27:CT42">IF(CS27,CS27,"")</f>
      </c>
      <c r="CU27" s="21"/>
      <c r="CV27" s="114">
        <f t="shared" si="61"/>
      </c>
      <c r="CW27" s="114">
        <f t="shared" si="62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3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0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21"/>
        <v>1</v>
      </c>
      <c r="EQ27" s="28">
        <f>MIN($EZ27:FA27)</f>
        <v>745.4</v>
      </c>
      <c r="ER27" s="28">
        <f>MIN($EZ27:FB27)</f>
        <v>745.4</v>
      </c>
      <c r="ES27" s="28">
        <f>MIN($EZ27:FC27)</f>
        <v>745.4</v>
      </c>
      <c r="ET27" s="28">
        <f>MIN($EZ27:FD27)</f>
        <v>745.4</v>
      </c>
      <c r="EU27" s="28">
        <f>MIN($EZ27:FE27)</f>
        <v>745.4</v>
      </c>
      <c r="EV27" s="28">
        <f>MIN($EZ27:FF27)</f>
        <v>745.4</v>
      </c>
      <c r="EW27" s="28">
        <f>MIN($EZ27:FG27)</f>
        <v>745.4</v>
      </c>
      <c r="EX27" s="28">
        <f>MIN($EZ27:FH27)</f>
        <v>745.4</v>
      </c>
      <c r="EY27" s="28">
        <f>MIN($EZ27:FI27)</f>
        <v>745.4</v>
      </c>
      <c r="EZ27" s="28">
        <f t="shared" si="22"/>
        <v>888.8</v>
      </c>
      <c r="FA27" s="28">
        <f t="shared" si="23"/>
        <v>745.4</v>
      </c>
      <c r="FB27" s="28">
        <f t="shared" si="24"/>
        <v>858.7</v>
      </c>
      <c r="FC27" s="28">
        <f t="shared" si="25"/>
        <v>838.4</v>
      </c>
      <c r="FD27" s="28">
        <f t="shared" si="26"/>
        <v>759.9</v>
      </c>
      <c r="FE27" s="28">
        <f t="shared" si="27"/>
        <v>918.5</v>
      </c>
      <c r="FF27" s="28">
        <f t="shared" si="28"/>
      </c>
      <c r="FG27" s="28">
        <f t="shared" si="29"/>
      </c>
      <c r="FH27" s="28">
        <f t="shared" si="30"/>
      </c>
      <c r="FI27" s="28">
        <f t="shared" si="31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2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3"/>
      </c>
      <c r="GD27" s="27">
        <f t="shared" si="34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111</v>
      </c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3741.6</v>
      </c>
      <c r="J28" s="137">
        <f>AD28+AO28+BA28+BM28+BY28+CK28+CW28+DI28+DU28+EG28-(MIN(EZ28:FI28)*$EY$2)</f>
        <v>3741.6</v>
      </c>
      <c r="K28" s="140">
        <f ca="1">IF(I28&lt;&gt;"",RANK(I28,J$11:INDIRECT(J$7,FALSE)),"")</f>
        <v>24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67.84</v>
      </c>
      <c r="AA28" s="113">
        <f aca="true" t="shared" si="107" ref="AA28:AA43">IF(Z28,Z28,"")</f>
        <v>67.84</v>
      </c>
      <c r="AB28" s="21"/>
      <c r="AC28" s="114">
        <f aca="true" t="shared" si="108" ref="AC28:AC43">IF(Z28&gt;0,ROUND((1000*AB$5)/Z28,1),IF(Z28="","",0))</f>
        <v>894</v>
      </c>
      <c r="AD28" s="114">
        <f aca="true" t="shared" si="109" ref="AD28:AD43">IF(AC28&lt;&gt;"",AC28-AB28,-AB28)</f>
        <v>894</v>
      </c>
      <c r="AE28" s="115">
        <f ca="1">IF(OR(Z28&lt;&gt;"",AB28&lt;&gt;""),RANK(AD28,AD$11:INDIRECT(AD$7,FALSE)),"")</f>
        <v>5</v>
      </c>
      <c r="AF28" s="116"/>
      <c r="AG28" s="117">
        <f aca="true" t="shared" si="110" ref="AG28:AG43">IF(OR(Z28&lt;&gt;"",AB28&lt;&gt;""),AD28,"")</f>
        <v>894</v>
      </c>
      <c r="AH28" s="117">
        <f aca="true" t="shared" si="111" ref="AH28:AH43">IF(AD28,AD28,0)</f>
        <v>894</v>
      </c>
      <c r="AI28" s="118">
        <f ca="1">IF(OR(Z28&lt;&gt;"",AB28&lt;&gt;""),RANK(AH28,AH$11:INDIRECT(AH$7,FALSE)),"")</f>
        <v>5</v>
      </c>
      <c r="AJ28" s="119"/>
      <c r="AK28" s="5">
        <v>85.02</v>
      </c>
      <c r="AL28" s="113">
        <f aca="true" t="shared" si="112" ref="AL28:AL43">IF(AK28,AK28,"")</f>
        <v>85.02</v>
      </c>
      <c r="AM28" s="21"/>
      <c r="AN28" s="114">
        <f aca="true" t="shared" si="113" ref="AN28:AN43">IF(AK28&gt;0,ROUND((1000*AM$5)/AK28,1),IF(AK28="","",0))</f>
        <v>667.6</v>
      </c>
      <c r="AO28" s="114">
        <f aca="true" t="shared" si="114" ref="AO28:AO43">IF(AN28&lt;&gt;"",AN28-AM28,-AM28)</f>
        <v>667.6</v>
      </c>
      <c r="AP28" s="115">
        <f ca="1">IF(OR(AK28&lt;&gt;"",AM28&lt;&gt;""),RANK(AO28,AO$11:INDIRECT(AO$7,FALSE)),"")</f>
        <v>25</v>
      </c>
      <c r="AQ28" s="116"/>
      <c r="AR28" s="117">
        <f t="shared" si="3"/>
        <v>1561.6</v>
      </c>
      <c r="AS28" s="120">
        <f>IF(AND($F$8&lt;3,AR28&lt;&gt;""),HLOOKUP(MATCH(EQ28,EZ28:FA28,0),Discards,1,FALSE),"")</f>
      </c>
      <c r="AT28" s="117">
        <f t="shared" si="4"/>
        <v>1561.6</v>
      </c>
      <c r="AU28" s="118">
        <f ca="1">IF(OR(AK28&lt;&gt;"",AM28&lt;&gt;""),RANK(AT28,AT$11:INDIRECT(AT$7,FALSE)),"")</f>
        <v>20</v>
      </c>
      <c r="AV28" s="119"/>
      <c r="AW28" s="5">
        <v>77.75</v>
      </c>
      <c r="AX28" s="113">
        <f t="shared" si="95"/>
        <v>77.75</v>
      </c>
      <c r="AY28" s="21"/>
      <c r="AZ28" s="114">
        <f aca="true" t="shared" si="115" ref="AZ28:AZ43">IF(AW28&gt;0,ROUND((1000*AY$5)/AW28,1),IF(AW28="","",0))</f>
        <v>778.8</v>
      </c>
      <c r="BA28" s="114">
        <f aca="true" t="shared" si="116" ref="BA28:BA43">IF(AZ28&lt;&gt;"",AZ28-AY28,-AY28)</f>
        <v>778.8</v>
      </c>
      <c r="BB28" s="115">
        <f ca="1">IF(OR(AW28&lt;&gt;"",AY28&lt;&gt;""),RANK(BA28,BA$11:INDIRECT(BA$7,FALSE)),"")</f>
        <v>23</v>
      </c>
      <c r="BC28" s="116"/>
      <c r="BD28" s="117">
        <f t="shared" si="6"/>
        <v>2340.3999999999996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2340.3999999999996</v>
      </c>
      <c r="BG28" s="118">
        <f ca="1">IF(OR(AW28&lt;&gt;"",AY28&lt;&gt;""),RANK(BF28,BF$11:INDIRECT(BF$7,FALSE)),"")</f>
        <v>24</v>
      </c>
      <c r="BH28" s="119"/>
      <c r="BI28" s="5">
        <v>74.27</v>
      </c>
      <c r="BJ28" s="113">
        <f t="shared" si="96"/>
        <v>74.27</v>
      </c>
      <c r="BK28" s="21"/>
      <c r="BL28" s="114">
        <f aca="true" t="shared" si="118" ref="BL28:BL43">IF(BI28&gt;0,ROUND((1000*BK$5)/BI28,1),IF(BI28="","",0))</f>
        <v>723.6</v>
      </c>
      <c r="BM28" s="114">
        <f aca="true" t="shared" si="119" ref="BM28:BM43">IF(BL28&lt;&gt;"",BL28-BK28,-BK28)</f>
        <v>723.6</v>
      </c>
      <c r="BN28" s="115">
        <f ca="1">IF(OR(BI28&lt;&gt;"",BK28&lt;&gt;""),RANK(BM28,BM$11:INDIRECT(BM$7,FALSE)),"")</f>
        <v>24</v>
      </c>
      <c r="BO28" s="116"/>
      <c r="BP28" s="117">
        <f t="shared" si="8"/>
        <v>3063.9999999999995</v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3063.9999999999995</v>
      </c>
      <c r="BS28" s="118">
        <f ca="1">IF(OR(BI28&lt;&gt;"",BK28&lt;&gt;""),RANK(BR28,BR$11:INDIRECT(BR$7,FALSE)),"")</f>
        <v>24</v>
      </c>
      <c r="BT28" s="119"/>
      <c r="BU28" s="5">
        <v>83.68</v>
      </c>
      <c r="BV28" s="113">
        <f t="shared" si="97"/>
        <v>83.68</v>
      </c>
      <c r="BW28" s="21"/>
      <c r="BX28" s="114">
        <f aca="true" t="shared" si="121" ref="BX28:BX43">IF(BU28&gt;0,ROUND((1000*BW$5)/BU28,1),IF(BU28="","",0))</f>
        <v>600.4</v>
      </c>
      <c r="BY28" s="114">
        <f aca="true" t="shared" si="122" ref="BY28:BY43">IF(BX28&lt;&gt;"",BX28-BW28,-BW28)</f>
        <v>600.4</v>
      </c>
      <c r="BZ28" s="115">
        <f ca="1">IF(OR(BU28&lt;&gt;"",BW28&lt;&gt;""),RANK(BY28,BY$11:INDIRECT(BY$7,FALSE)),"")</f>
        <v>25</v>
      </c>
      <c r="CA28" s="116"/>
      <c r="CB28" s="117">
        <f t="shared" si="10"/>
        <v>3063.9999999999995</v>
      </c>
      <c r="CC28" s="120">
        <f>IF(AND($F$8&lt;6,CB28&lt;&gt;""),HLOOKUP(MATCH(ET28,EZ28:FD28,0),Discards,1,FALSE),"")</f>
        <v>5</v>
      </c>
      <c r="CD28" s="117">
        <f aca="true" t="shared" si="123" ref="CD28:CD43">IF(OR(BU28&lt;&gt;"",BW28&lt;&gt;""),CB28,0)</f>
        <v>3063.9999999999995</v>
      </c>
      <c r="CE28" s="118">
        <f ca="1">IF(OR(BU28&lt;&gt;"",BW28&lt;&gt;""),RANK(CD28,CD$11:INDIRECT(CD$7,FALSE)),"")</f>
        <v>24</v>
      </c>
      <c r="CF28" s="119"/>
      <c r="CG28" s="5">
        <v>92.66</v>
      </c>
      <c r="CH28" s="113">
        <f t="shared" si="98"/>
        <v>92.66</v>
      </c>
      <c r="CI28" s="21"/>
      <c r="CJ28" s="114">
        <f aca="true" t="shared" si="124" ref="CJ28:CJ43">IF(CG28&gt;0,ROUND((1000*CI$5)/CG28,1),IF(CG28="","",0))</f>
        <v>677.6</v>
      </c>
      <c r="CK28" s="114">
        <f aca="true" t="shared" si="125" ref="CK28:CK43">IF(CJ28&lt;&gt;"",CJ28-CI28,-CI28)</f>
        <v>677.6</v>
      </c>
      <c r="CL28" s="115">
        <f ca="1">IF(OR(CG28&lt;&gt;"",CI28&lt;&gt;""),RANK(CK28,CK$11:INDIRECT(CK$7,FALSE)),"")</f>
        <v>25</v>
      </c>
      <c r="CM28" s="116"/>
      <c r="CN28" s="117">
        <f t="shared" si="12"/>
        <v>3741.6</v>
      </c>
      <c r="CO28" s="120">
        <f>IF(AND($F$8&lt;7,CN28&lt;&gt;""),HLOOKUP(MATCH(EU28,EZ28:FE28,0),Discards,1,FALSE),"")</f>
        <v>5</v>
      </c>
      <c r="CP28" s="117">
        <f aca="true" t="shared" si="126" ref="CP28:CP43">IF(OR(CG28&lt;&gt;"",CI28&lt;&gt;""),CN28,0)</f>
        <v>3741.6</v>
      </c>
      <c r="CQ28" s="118">
        <f ca="1">IF(OR(CG28&lt;&gt;"",CI28&lt;&gt;""),RANK(CP28,CP$11:INDIRECT(CP$7,FALSE)),"")</f>
        <v>24</v>
      </c>
      <c r="CR28" s="119"/>
      <c r="CS28" s="5"/>
      <c r="CT28" s="113">
        <f t="shared" si="99"/>
      </c>
      <c r="CU28" s="21"/>
      <c r="CV28" s="114">
        <f aca="true" t="shared" si="127" ref="CV28:CV43">IF(CS28&gt;0,ROUND((1000*CU$5)/CS28,1),IF(CS28="","",0))</f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21"/>
        <v>1</v>
      </c>
      <c r="EQ28" s="28">
        <f>MIN($EZ28:FA28)</f>
        <v>667.6</v>
      </c>
      <c r="ER28" s="28">
        <f>MIN($EZ28:FB28)</f>
        <v>667.6</v>
      </c>
      <c r="ES28" s="28">
        <f>MIN($EZ28:FC28)</f>
        <v>667.6</v>
      </c>
      <c r="ET28" s="28">
        <f>MIN($EZ28:FD28)</f>
        <v>600.4</v>
      </c>
      <c r="EU28" s="28">
        <f>MIN($EZ28:FE28)</f>
        <v>600.4</v>
      </c>
      <c r="EV28" s="28">
        <f>MIN($EZ28:FF28)</f>
        <v>600.4</v>
      </c>
      <c r="EW28" s="28">
        <f>MIN($EZ28:FG28)</f>
        <v>600.4</v>
      </c>
      <c r="EX28" s="28">
        <f>MIN($EZ28:FH28)</f>
        <v>600.4</v>
      </c>
      <c r="EY28" s="28">
        <f>MIN($EZ28:FI28)</f>
        <v>600.4</v>
      </c>
      <c r="EZ28" s="28">
        <f t="shared" si="22"/>
        <v>894</v>
      </c>
      <c r="FA28" s="28">
        <f t="shared" si="23"/>
        <v>667.6</v>
      </c>
      <c r="FB28" s="28">
        <f t="shared" si="24"/>
        <v>778.8</v>
      </c>
      <c r="FC28" s="28">
        <f t="shared" si="25"/>
        <v>723.6</v>
      </c>
      <c r="FD28" s="28">
        <f t="shared" si="26"/>
        <v>600.4</v>
      </c>
      <c r="FE28" s="28">
        <f t="shared" si="27"/>
        <v>677.6</v>
      </c>
      <c r="FF28" s="28">
        <f t="shared" si="28"/>
      </c>
      <c r="FG28" s="28">
        <f t="shared" si="29"/>
      </c>
      <c r="FH28" s="28">
        <f t="shared" si="30"/>
      </c>
      <c r="FI28" s="28">
        <f t="shared" si="31"/>
      </c>
      <c r="FL28" s="26">
        <f aca="true" t="shared" si="139" ref="FL28:FL43">IF(H28&lt;&gt;"",(CODE(MID(H28,1,1))*1000)*1000,255000000)</f>
        <v>255000000</v>
      </c>
      <c r="FM28" s="26">
        <f aca="true" t="shared" si="140" ref="FM28:FM43">IF(H28&lt;&gt;"",CODE(MID(H28,2,1))*1000,255000)</f>
        <v>255000</v>
      </c>
      <c r="FN28" s="26">
        <f aca="true" t="shared" si="141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2" ref="FQ28:FQ43">INT(FP28/1000000)</f>
        <v>255</v>
      </c>
      <c r="FR28" s="26">
        <f aca="true" t="shared" si="143" ref="FR28:FR43">INT(FP28/1000)-FQ28*1000</f>
        <v>255</v>
      </c>
      <c r="FS28" s="26">
        <f aca="true" t="shared" si="144" ref="FS28:FS43">FP28-FQ28*1000000-FR28*1000</f>
        <v>255</v>
      </c>
      <c r="FT28" s="26">
        <f aca="true" t="shared" si="145" ref="FT28:FT43">IF(FP28=255255255,"",IF(FP28&gt;0,CHAR(FQ28)&amp;CHAR(FR28)&amp;CHAR(FS28),""))</f>
      </c>
      <c r="FU28" s="26">
        <f aca="true" t="shared" si="146" ref="FU28:FU43">COUNTIF($FT$11:$FT$34,FT28)</f>
        <v>24</v>
      </c>
      <c r="FV28" s="28">
        <f t="shared" si="32"/>
      </c>
      <c r="FW28" s="26">
        <f t="shared" si="92"/>
      </c>
      <c r="FX28" s="28">
        <f aca="true" t="shared" si="147" ref="FX28:FX43">IF(FW28&lt;&gt;"",FV28,"")</f>
      </c>
      <c r="FY28" s="26">
        <f ca="1">IF(FX28&lt;&gt;"",RANK(FX28,FX$11:INDIRECT(FX$7,FALSE)),"")</f>
      </c>
      <c r="FZ28" s="26">
        <f aca="true" t="shared" si="148" ref="FZ28:FZ43">IF(H28&lt;&gt;"",MATCH(H28,$FW$11:$FW$62,0),"")</f>
      </c>
      <c r="GA28" s="26">
        <f t="shared" si="81"/>
      </c>
      <c r="GC28" s="27">
        <f t="shared" si="33"/>
      </c>
      <c r="GD28" s="27">
        <f t="shared" si="34"/>
      </c>
      <c r="GE28" s="27">
        <f t="shared" si="82"/>
      </c>
      <c r="GF28" s="27">
        <f aca="true" t="shared" si="149" ref="GF28:GF43">IF(A28&lt;=$GF$8,LARGE($GE$11:$GE$62,A28),"")</f>
      </c>
      <c r="GG28" s="27">
        <f aca="true" t="shared" si="150" ref="GG28:GG43">IF(GF28&lt;&gt;"",VALUE(RIGHT(GF28,9)),0)</f>
        <v>0</v>
      </c>
      <c r="GH28" s="26">
        <f aca="true" t="shared" si="151" ref="GH28:GH43">INT(GG28/1000000)</f>
        <v>0</v>
      </c>
      <c r="GI28" s="26">
        <f aca="true" t="shared" si="152" ref="GI28:GI43">INT(GG28/1000)-GH28*1000</f>
        <v>0</v>
      </c>
      <c r="GJ28" s="26">
        <f aca="true" t="shared" si="153" ref="GJ28:GJ43">GG28-GH28*1000000-GI28*1000</f>
        <v>0</v>
      </c>
      <c r="GK28" s="26">
        <f aca="true" t="shared" si="154" ref="GK28:GK43">IF(GG28=255255255,"",IF(GG28&gt;0,CHAR(GH28)&amp;CHAR(GI28)&amp;CHAR(GJ28),""))</f>
      </c>
      <c r="GL28" s="28">
        <f aca="true" t="shared" si="155" ref="GL28:GL43">IF(GK28&lt;&gt;"",(GF28-GG28)/10000000000-1000,"")</f>
      </c>
      <c r="GM28" s="26">
        <f aca="true" t="shared" si="156" ref="GM28:GM43">IF(GL28&lt;&gt;"",RANK(GL28,$GL$11:$GL$62),"")</f>
      </c>
    </row>
    <row r="29" spans="1:195" ht="12.75">
      <c r="A29" s="16">
        <f aca="true" t="shared" si="157" ref="A29:A44">A28+1</f>
        <v>19</v>
      </c>
      <c r="B29" s="17"/>
      <c r="C29" s="18" t="s">
        <v>99</v>
      </c>
      <c r="D29" s="19"/>
      <c r="E29" s="18"/>
      <c r="F29" s="18"/>
      <c r="G29" s="148"/>
      <c r="H29" s="122">
        <f t="shared" si="103"/>
      </c>
      <c r="I29" s="30">
        <f t="shared" si="104"/>
        <v>4049.4000000000005</v>
      </c>
      <c r="J29" s="30">
        <f>AD29+AO29+BA29+BM29+BY29+CK29+CW29+DI29+DU29+EG29-(MIN(EZ29:FI29)*$EY$2)</f>
        <v>4049.4000000000005</v>
      </c>
      <c r="K29" s="139">
        <f ca="1">IF(I29&lt;&gt;"",RANK(I29,J$11:INDIRECT(J$7,FALSE)),"")</f>
        <v>21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83.96</v>
      </c>
      <c r="AA29" s="103">
        <f t="shared" si="107"/>
        <v>83.96</v>
      </c>
      <c r="AB29" s="20"/>
      <c r="AC29" s="104">
        <f t="shared" si="108"/>
        <v>722.4</v>
      </c>
      <c r="AD29" s="104">
        <f t="shared" si="109"/>
        <v>722.4</v>
      </c>
      <c r="AE29" s="105">
        <f ca="1">IF(OR(Z29&lt;&gt;"",AB29&lt;&gt;""),RANK(AD29,AD$11:INDIRECT(AD$7,FALSE)),"")</f>
        <v>23</v>
      </c>
      <c r="AF29" s="106"/>
      <c r="AG29" s="107">
        <f t="shared" si="110"/>
        <v>722.4</v>
      </c>
      <c r="AH29" s="107">
        <f t="shared" si="111"/>
        <v>722.4</v>
      </c>
      <c r="AI29" s="108">
        <f ca="1">IF(OR(Z29&lt;&gt;"",AB29&lt;&gt;""),RANK(AH29,AH$11:INDIRECT(AH$7,FALSE)),"")</f>
        <v>23</v>
      </c>
      <c r="AJ29" s="109"/>
      <c r="AK29" s="4">
        <v>70.67</v>
      </c>
      <c r="AL29" s="103">
        <f t="shared" si="112"/>
        <v>70.67</v>
      </c>
      <c r="AM29" s="20"/>
      <c r="AN29" s="104">
        <f t="shared" si="113"/>
        <v>803.2</v>
      </c>
      <c r="AO29" s="104">
        <f t="shared" si="114"/>
        <v>803.2</v>
      </c>
      <c r="AP29" s="105">
        <f ca="1">IF(OR(AK29&lt;&gt;"",AM29&lt;&gt;""),RANK(AO29,AO$11:INDIRECT(AO$7,FALSE)),"")</f>
        <v>15</v>
      </c>
      <c r="AQ29" s="106"/>
      <c r="AR29" s="107">
        <f t="shared" si="3"/>
        <v>1525.6</v>
      </c>
      <c r="AS29" s="110">
        <f>IF(AND($F$8&lt;3,AR29&lt;&gt;""),HLOOKUP(MATCH(EQ29,EZ29:FA29,0),Discards,1,FALSE),"")</f>
      </c>
      <c r="AT29" s="107">
        <f t="shared" si="4"/>
        <v>1525.6</v>
      </c>
      <c r="AU29" s="108">
        <f ca="1">IF(OR(AK29&lt;&gt;"",AM29&lt;&gt;""),RANK(AT29,AT$11:INDIRECT(AT$7,FALSE)),"")</f>
        <v>23</v>
      </c>
      <c r="AV29" s="109"/>
      <c r="AW29" s="4">
        <v>71.03</v>
      </c>
      <c r="AX29" s="103">
        <f t="shared" si="95"/>
        <v>71.03</v>
      </c>
      <c r="AY29" s="20"/>
      <c r="AZ29" s="104">
        <f t="shared" si="115"/>
        <v>852.5</v>
      </c>
      <c r="BA29" s="104">
        <f t="shared" si="116"/>
        <v>852.5</v>
      </c>
      <c r="BB29" s="105">
        <f ca="1">IF(OR(AW29&lt;&gt;"",AY29&lt;&gt;""),RANK(BA29,BA$11:INDIRECT(BA$7,FALSE)),"")</f>
        <v>17</v>
      </c>
      <c r="BC29" s="106"/>
      <c r="BD29" s="107">
        <f t="shared" si="6"/>
        <v>2378.1</v>
      </c>
      <c r="BE29" s="110">
        <f>IF(AND($F$8&lt;4,BD29&lt;&gt;""),HLOOKUP(MATCH(ER29,EZ29:FB29,0),Discards,1,FALSE),"")</f>
      </c>
      <c r="BF29" s="107">
        <f t="shared" si="117"/>
        <v>2378.1</v>
      </c>
      <c r="BG29" s="108">
        <f ca="1">IF(OR(AW29&lt;&gt;"",AY29&lt;&gt;""),RANK(BF29,BF$11:INDIRECT(BF$7,FALSE)),"")</f>
        <v>22</v>
      </c>
      <c r="BH29" s="109"/>
      <c r="BI29" s="4">
        <v>71.04</v>
      </c>
      <c r="BJ29" s="103">
        <f t="shared" si="96"/>
        <v>71.04</v>
      </c>
      <c r="BK29" s="20"/>
      <c r="BL29" s="104">
        <f t="shared" si="118"/>
        <v>756.5</v>
      </c>
      <c r="BM29" s="104">
        <f t="shared" si="119"/>
        <v>756.5</v>
      </c>
      <c r="BN29" s="105">
        <f ca="1">IF(OR(BI29&lt;&gt;"",BK29&lt;&gt;""),RANK(BM29,BM$11:INDIRECT(BM$7,FALSE)),"")</f>
        <v>23</v>
      </c>
      <c r="BO29" s="106"/>
      <c r="BP29" s="107">
        <f t="shared" si="8"/>
        <v>3134.6</v>
      </c>
      <c r="BQ29" s="110">
        <f>IF(AND($F$8&lt;5,BP29&lt;&gt;""),HLOOKUP(MATCH(ES29,EZ29:FC29,0),Discards,1,FALSE),"")</f>
      </c>
      <c r="BR29" s="107">
        <f t="shared" si="120"/>
        <v>3134.6</v>
      </c>
      <c r="BS29" s="108">
        <f ca="1">IF(OR(BI29&lt;&gt;"",BK29&lt;&gt;""),RANK(BR29,BR$11:INDIRECT(BR$7,FALSE)),"")</f>
        <v>22</v>
      </c>
      <c r="BT29" s="109"/>
      <c r="BU29" s="4">
        <v>74.02</v>
      </c>
      <c r="BV29" s="103">
        <f t="shared" si="97"/>
        <v>74.02</v>
      </c>
      <c r="BW29" s="20"/>
      <c r="BX29" s="104">
        <f t="shared" si="121"/>
        <v>678.7</v>
      </c>
      <c r="BY29" s="104">
        <f t="shared" si="122"/>
        <v>678.7</v>
      </c>
      <c r="BZ29" s="105">
        <f ca="1">IF(OR(BU29&lt;&gt;"",BW29&lt;&gt;""),RANK(BY29,BY$11:INDIRECT(BY$7,FALSE)),"")</f>
        <v>23</v>
      </c>
      <c r="CA29" s="106"/>
      <c r="CB29" s="107">
        <f t="shared" si="10"/>
        <v>3134.6000000000004</v>
      </c>
      <c r="CC29" s="110">
        <f>IF(AND($F$8&lt;6,CB29&lt;&gt;""),HLOOKUP(MATCH(ET29,EZ29:FD29,0),Discards,1,FALSE),"")</f>
        <v>5</v>
      </c>
      <c r="CD29" s="107">
        <f t="shared" si="123"/>
        <v>3134.6000000000004</v>
      </c>
      <c r="CE29" s="108">
        <f ca="1">IF(OR(BU29&lt;&gt;"",BW29&lt;&gt;""),RANK(CD29,CD$11:INDIRECT(CD$7,FALSE)),"")</f>
        <v>22</v>
      </c>
      <c r="CF29" s="109"/>
      <c r="CG29" s="4">
        <v>68.64</v>
      </c>
      <c r="CH29" s="103">
        <f t="shared" si="98"/>
        <v>68.64</v>
      </c>
      <c r="CI29" s="20"/>
      <c r="CJ29" s="104">
        <f t="shared" si="124"/>
        <v>914.8</v>
      </c>
      <c r="CK29" s="104">
        <f t="shared" si="125"/>
        <v>914.8</v>
      </c>
      <c r="CL29" s="105">
        <f ca="1">IF(OR(CG29&lt;&gt;"",CI29&lt;&gt;""),RANK(CK29,CK$11:INDIRECT(CK$7,FALSE)),"")</f>
        <v>13</v>
      </c>
      <c r="CM29" s="106"/>
      <c r="CN29" s="107">
        <f t="shared" si="12"/>
        <v>4049.4000000000005</v>
      </c>
      <c r="CO29" s="110">
        <f>IF(AND($F$8&lt;7,CN29&lt;&gt;""),HLOOKUP(MATCH(EU29,EZ29:FE29,0),Discards,1,FALSE),"")</f>
        <v>5</v>
      </c>
      <c r="CP29" s="107">
        <f t="shared" si="126"/>
        <v>4049.4000000000005</v>
      </c>
      <c r="CQ29" s="108">
        <f ca="1">IF(OR(CG29&lt;&gt;"",CI29&lt;&gt;""),RANK(CP29,CP$11:INDIRECT(CP$7,FALSE)),"")</f>
        <v>21</v>
      </c>
      <c r="CR29" s="109"/>
      <c r="CS29" s="4"/>
      <c r="CT29" s="103">
        <f t="shared" si="99"/>
      </c>
      <c r="CU29" s="20"/>
      <c r="CV29" s="104">
        <f t="shared" si="127"/>
      </c>
      <c r="CW29" s="104">
        <f t="shared" si="128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21"/>
        <v>1</v>
      </c>
      <c r="EQ29" s="28">
        <f>MIN($EZ29:FA29)</f>
        <v>722.4</v>
      </c>
      <c r="ER29" s="28">
        <f>MIN($EZ29:FB29)</f>
        <v>722.4</v>
      </c>
      <c r="ES29" s="28">
        <f>MIN($EZ29:FC29)</f>
        <v>722.4</v>
      </c>
      <c r="ET29" s="28">
        <f>MIN($EZ29:FD29)</f>
        <v>678.7</v>
      </c>
      <c r="EU29" s="28">
        <f>MIN($EZ29:FE29)</f>
        <v>678.7</v>
      </c>
      <c r="EV29" s="28">
        <f>MIN($EZ29:FF29)</f>
        <v>678.7</v>
      </c>
      <c r="EW29" s="28">
        <f>MIN($EZ29:FG29)</f>
        <v>678.7</v>
      </c>
      <c r="EX29" s="28">
        <f>MIN($EZ29:FH29)</f>
        <v>678.7</v>
      </c>
      <c r="EY29" s="28">
        <f>MIN($EZ29:FI29)</f>
        <v>678.7</v>
      </c>
      <c r="EZ29" s="28">
        <f t="shared" si="22"/>
        <v>722.4</v>
      </c>
      <c r="FA29" s="28">
        <f t="shared" si="23"/>
        <v>803.2</v>
      </c>
      <c r="FB29" s="28">
        <f t="shared" si="24"/>
        <v>852.5</v>
      </c>
      <c r="FC29" s="28">
        <f t="shared" si="25"/>
        <v>756.5</v>
      </c>
      <c r="FD29" s="28">
        <f t="shared" si="26"/>
        <v>678.7</v>
      </c>
      <c r="FE29" s="28">
        <f t="shared" si="27"/>
        <v>914.8</v>
      </c>
      <c r="FF29" s="28">
        <f t="shared" si="28"/>
      </c>
      <c r="FG29" s="28">
        <f t="shared" si="29"/>
      </c>
      <c r="FH29" s="28">
        <f t="shared" si="30"/>
      </c>
      <c r="FI29" s="28">
        <f t="shared" si="31"/>
      </c>
      <c r="FL29" s="26">
        <f t="shared" si="139"/>
        <v>255000000</v>
      </c>
      <c r="FM29" s="26">
        <f t="shared" si="140"/>
        <v>255000</v>
      </c>
      <c r="FN29" s="26">
        <f t="shared" si="141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2"/>
        <v>255</v>
      </c>
      <c r="FR29" s="26">
        <f t="shared" si="143"/>
        <v>255</v>
      </c>
      <c r="FS29" s="26">
        <f t="shared" si="144"/>
        <v>255</v>
      </c>
      <c r="FT29" s="26">
        <f t="shared" si="145"/>
      </c>
      <c r="FU29" s="26">
        <f t="shared" si="146"/>
        <v>24</v>
      </c>
      <c r="FV29" s="28">
        <f t="shared" si="32"/>
      </c>
      <c r="FW29" s="26">
        <f aca="true" t="shared" si="158" ref="FW29:FW44">IF(FT29&lt;&gt;FT28,FT29,"")</f>
      </c>
      <c r="FX29" s="28">
        <f t="shared" si="147"/>
      </c>
      <c r="FY29" s="26">
        <f ca="1">IF(FX29&lt;&gt;"",RANK(FX29,FX$11:INDIRECT(FX$7,FALSE)),"")</f>
      </c>
      <c r="FZ29" s="26">
        <f t="shared" si="148"/>
      </c>
      <c r="GA29" s="26">
        <f t="shared" si="81"/>
      </c>
      <c r="GC29" s="27">
        <f t="shared" si="33"/>
      </c>
      <c r="GD29" s="27">
        <f t="shared" si="34"/>
      </c>
      <c r="GE29" s="27">
        <f t="shared" si="82"/>
      </c>
      <c r="GF29" s="27">
        <f t="shared" si="149"/>
      </c>
      <c r="GG29" s="27">
        <f t="shared" si="150"/>
        <v>0</v>
      </c>
      <c r="GH29" s="26">
        <f t="shared" si="151"/>
        <v>0</v>
      </c>
      <c r="GI29" s="26">
        <f t="shared" si="152"/>
        <v>0</v>
      </c>
      <c r="GJ29" s="26">
        <f t="shared" si="153"/>
        <v>0</v>
      </c>
      <c r="GK29" s="26">
        <f t="shared" si="154"/>
      </c>
      <c r="GL29" s="28">
        <f t="shared" si="155"/>
      </c>
      <c r="GM29" s="26">
        <f t="shared" si="156"/>
      </c>
    </row>
    <row r="30" spans="1:195" ht="12.75">
      <c r="A30" s="16">
        <f t="shared" si="157"/>
        <v>20</v>
      </c>
      <c r="B30" s="17"/>
      <c r="C30" s="18" t="s">
        <v>100</v>
      </c>
      <c r="D30" s="19"/>
      <c r="E30" s="18"/>
      <c r="F30" s="18"/>
      <c r="G30" s="148"/>
      <c r="H30" s="122">
        <f t="shared" si="103"/>
      </c>
      <c r="I30" s="30">
        <f t="shared" si="104"/>
        <v>4558.1</v>
      </c>
      <c r="J30" s="30">
        <f>AD30+AO30+BA30+BM30+BY30+CK30+CW30+DI30+DU30+EG30-(MIN(EZ30:FI30)*$EY$2)</f>
        <v>4558.1</v>
      </c>
      <c r="K30" s="139">
        <f ca="1">IF(I30&lt;&gt;"",RANK(I30,J$11:INDIRECT(J$7,FALSE)),"")</f>
        <v>4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69.08</v>
      </c>
      <c r="AA30" s="103">
        <f t="shared" si="107"/>
        <v>69.08</v>
      </c>
      <c r="AB30" s="20"/>
      <c r="AC30" s="104">
        <f t="shared" si="108"/>
        <v>878</v>
      </c>
      <c r="AD30" s="104">
        <f t="shared" si="109"/>
        <v>878</v>
      </c>
      <c r="AE30" s="105">
        <f ca="1">IF(OR(Z30&lt;&gt;"",AB30&lt;&gt;""),RANK(AD30,AD$11:INDIRECT(AD$7,FALSE)),"")</f>
        <v>9</v>
      </c>
      <c r="AF30" s="106"/>
      <c r="AG30" s="107">
        <f t="shared" si="110"/>
        <v>878</v>
      </c>
      <c r="AH30" s="107">
        <f t="shared" si="111"/>
        <v>878</v>
      </c>
      <c r="AI30" s="108">
        <f ca="1">IF(OR(Z30&lt;&gt;"",AB30&lt;&gt;""),RANK(AH30,AH$11:INDIRECT(AH$7,FALSE)),"")</f>
        <v>9</v>
      </c>
      <c r="AJ30" s="109"/>
      <c r="AK30" s="4">
        <v>67.33</v>
      </c>
      <c r="AL30" s="103">
        <f t="shared" si="112"/>
        <v>67.33</v>
      </c>
      <c r="AM30" s="20"/>
      <c r="AN30" s="104">
        <f t="shared" si="113"/>
        <v>843</v>
      </c>
      <c r="AO30" s="104">
        <f t="shared" si="114"/>
        <v>843</v>
      </c>
      <c r="AP30" s="105">
        <f ca="1">IF(OR(AK30&lt;&gt;"",AM30&lt;&gt;""),RANK(AO30,AO$11:INDIRECT(AO$7,FALSE)),"")</f>
        <v>10</v>
      </c>
      <c r="AQ30" s="106"/>
      <c r="AR30" s="107">
        <f t="shared" si="3"/>
        <v>1721</v>
      </c>
      <c r="AS30" s="110">
        <f>IF(AND($F$8&lt;3,AR30&lt;&gt;""),HLOOKUP(MATCH(EQ30,EZ30:FA30,0),Discards,1,FALSE),"")</f>
      </c>
      <c r="AT30" s="107">
        <f t="shared" si="4"/>
        <v>1721</v>
      </c>
      <c r="AU30" s="108">
        <f ca="1">IF(OR(AK30&lt;&gt;"",AM30&lt;&gt;""),RANK(AT30,AT$11:INDIRECT(AT$7,FALSE)),"")</f>
        <v>4</v>
      </c>
      <c r="AV30" s="109"/>
      <c r="AW30" s="4">
        <v>60.55</v>
      </c>
      <c r="AX30" s="103">
        <f t="shared" si="95"/>
        <v>60.55</v>
      </c>
      <c r="AY30" s="20"/>
      <c r="AZ30" s="104">
        <f t="shared" si="115"/>
        <v>1000</v>
      </c>
      <c r="BA30" s="104">
        <f t="shared" si="116"/>
        <v>1000</v>
      </c>
      <c r="BB30" s="105">
        <f ca="1">IF(OR(AW30&lt;&gt;"",AY30&lt;&gt;""),RANK(BA30,BA$11:INDIRECT(BA$7,FALSE)),"")</f>
        <v>1</v>
      </c>
      <c r="BC30" s="106"/>
      <c r="BD30" s="107">
        <f t="shared" si="6"/>
        <v>2721</v>
      </c>
      <c r="BE30" s="110">
        <f>IF(AND($F$8&lt;4,BD30&lt;&gt;""),HLOOKUP(MATCH(ER30,EZ30:FB30,0),Discards,1,FALSE),"")</f>
      </c>
      <c r="BF30" s="107">
        <f t="shared" si="117"/>
        <v>2721</v>
      </c>
      <c r="BG30" s="108">
        <f ca="1">IF(OR(AW30&lt;&gt;"",AY30&lt;&gt;""),RANK(BF30,BF$11:INDIRECT(BF$7,FALSE)),"")</f>
        <v>3</v>
      </c>
      <c r="BH30" s="109"/>
      <c r="BI30" s="4">
        <v>64.2</v>
      </c>
      <c r="BJ30" s="103">
        <f t="shared" si="96"/>
        <v>64.2</v>
      </c>
      <c r="BK30" s="20"/>
      <c r="BL30" s="104">
        <f t="shared" si="118"/>
        <v>837.1</v>
      </c>
      <c r="BM30" s="104">
        <f t="shared" si="119"/>
        <v>837.1</v>
      </c>
      <c r="BN30" s="105">
        <f ca="1">IF(OR(BI30&lt;&gt;"",BK30&lt;&gt;""),RANK(BM30,BM$11:INDIRECT(BM$7,FALSE)),"")</f>
        <v>13</v>
      </c>
      <c r="BO30" s="106"/>
      <c r="BP30" s="107">
        <f t="shared" si="8"/>
        <v>3558.1</v>
      </c>
      <c r="BQ30" s="110">
        <f>IF(AND($F$8&lt;5,BP30&lt;&gt;""),HLOOKUP(MATCH(ES30,EZ30:FC30,0),Discards,1,FALSE),"")</f>
      </c>
      <c r="BR30" s="107">
        <f t="shared" si="120"/>
        <v>3558.1</v>
      </c>
      <c r="BS30" s="108">
        <f ca="1">IF(OR(BI30&lt;&gt;"",BK30&lt;&gt;""),RANK(BR30,BR$11:INDIRECT(BR$7,FALSE)),"")</f>
        <v>5</v>
      </c>
      <c r="BT30" s="109"/>
      <c r="BU30" s="4">
        <v>61.72</v>
      </c>
      <c r="BV30" s="103">
        <f t="shared" si="97"/>
        <v>61.72</v>
      </c>
      <c r="BW30" s="20"/>
      <c r="BX30" s="104">
        <f t="shared" si="121"/>
        <v>814</v>
      </c>
      <c r="BY30" s="104">
        <f t="shared" si="122"/>
        <v>814</v>
      </c>
      <c r="BZ30" s="105">
        <f ca="1">IF(OR(BU30&lt;&gt;"",BW30&lt;&gt;""),RANK(BY30,BY$11:INDIRECT(BY$7,FALSE)),"")</f>
        <v>7</v>
      </c>
      <c r="CA30" s="106"/>
      <c r="CB30" s="107">
        <f t="shared" si="10"/>
        <v>3558.1000000000004</v>
      </c>
      <c r="CC30" s="110">
        <f>IF(AND($F$8&lt;6,CB30&lt;&gt;""),HLOOKUP(MATCH(ET30,EZ30:FD30,0),Discards,1,FALSE),"")</f>
        <v>5</v>
      </c>
      <c r="CD30" s="107">
        <f t="shared" si="123"/>
        <v>3558.1000000000004</v>
      </c>
      <c r="CE30" s="108">
        <f ca="1">IF(OR(BU30&lt;&gt;"",BW30&lt;&gt;""),RANK(CD30,CD$11:INDIRECT(CD$7,FALSE)),"")</f>
        <v>5</v>
      </c>
      <c r="CF30" s="109"/>
      <c r="CG30" s="4">
        <v>62.79</v>
      </c>
      <c r="CH30" s="103">
        <f t="shared" si="98"/>
        <v>62.79</v>
      </c>
      <c r="CI30" s="20"/>
      <c r="CJ30" s="104">
        <f t="shared" si="124"/>
        <v>1000</v>
      </c>
      <c r="CK30" s="104">
        <f t="shared" si="125"/>
        <v>1000</v>
      </c>
      <c r="CL30" s="105">
        <f ca="1">IF(OR(CG30&lt;&gt;"",CI30&lt;&gt;""),RANK(CK30,CK$11:INDIRECT(CK$7,FALSE)),"")</f>
        <v>1</v>
      </c>
      <c r="CM30" s="106"/>
      <c r="CN30" s="107">
        <f t="shared" si="12"/>
        <v>4558.1</v>
      </c>
      <c r="CO30" s="110">
        <f>IF(AND($F$8&lt;7,CN30&lt;&gt;""),HLOOKUP(MATCH(EU30,EZ30:FE30,0),Discards,1,FALSE),"")</f>
        <v>5</v>
      </c>
      <c r="CP30" s="107">
        <f t="shared" si="126"/>
        <v>4558.1</v>
      </c>
      <c r="CQ30" s="108">
        <f ca="1">IF(OR(CG30&lt;&gt;"",CI30&lt;&gt;""),RANK(CP30,CP$11:INDIRECT(CP$7,FALSE)),"")</f>
        <v>4</v>
      </c>
      <c r="CR30" s="109"/>
      <c r="CS30" s="4"/>
      <c r="CT30" s="103">
        <f t="shared" si="99"/>
      </c>
      <c r="CU30" s="20"/>
      <c r="CV30" s="104">
        <f t="shared" si="127"/>
      </c>
      <c r="CW30" s="104">
        <f t="shared" si="128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21"/>
        <v>1</v>
      </c>
      <c r="EQ30" s="28">
        <f>MIN($EZ30:FA30)</f>
        <v>843</v>
      </c>
      <c r="ER30" s="28">
        <f>MIN($EZ30:FB30)</f>
        <v>843</v>
      </c>
      <c r="ES30" s="28">
        <f>MIN($EZ30:FC30)</f>
        <v>837.1</v>
      </c>
      <c r="ET30" s="28">
        <f>MIN($EZ30:FD30)</f>
        <v>814</v>
      </c>
      <c r="EU30" s="28">
        <f>MIN($EZ30:FE30)</f>
        <v>814</v>
      </c>
      <c r="EV30" s="28">
        <f>MIN($EZ30:FF30)</f>
        <v>814</v>
      </c>
      <c r="EW30" s="28">
        <f>MIN($EZ30:FG30)</f>
        <v>814</v>
      </c>
      <c r="EX30" s="28">
        <f>MIN($EZ30:FH30)</f>
        <v>814</v>
      </c>
      <c r="EY30" s="28">
        <f>MIN($EZ30:FI30)</f>
        <v>814</v>
      </c>
      <c r="EZ30" s="28">
        <f t="shared" si="22"/>
        <v>878</v>
      </c>
      <c r="FA30" s="28">
        <f t="shared" si="23"/>
        <v>843</v>
      </c>
      <c r="FB30" s="28">
        <f t="shared" si="24"/>
        <v>1000</v>
      </c>
      <c r="FC30" s="28">
        <f t="shared" si="25"/>
        <v>837.1</v>
      </c>
      <c r="FD30" s="28">
        <f t="shared" si="26"/>
        <v>814</v>
      </c>
      <c r="FE30" s="28">
        <f t="shared" si="27"/>
        <v>1000</v>
      </c>
      <c r="FF30" s="28">
        <f t="shared" si="28"/>
      </c>
      <c r="FG30" s="28">
        <f t="shared" si="29"/>
      </c>
      <c r="FH30" s="28">
        <f t="shared" si="30"/>
      </c>
      <c r="FI30" s="28">
        <f t="shared" si="31"/>
      </c>
      <c r="FL30" s="26">
        <f t="shared" si="139"/>
        <v>255000000</v>
      </c>
      <c r="FM30" s="26">
        <f t="shared" si="140"/>
        <v>255000</v>
      </c>
      <c r="FN30" s="26">
        <f t="shared" si="141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2"/>
        <v>255</v>
      </c>
      <c r="FR30" s="26">
        <f t="shared" si="143"/>
        <v>255</v>
      </c>
      <c r="FS30" s="26">
        <f t="shared" si="144"/>
        <v>255</v>
      </c>
      <c r="FT30" s="26">
        <f t="shared" si="145"/>
      </c>
      <c r="FU30" s="26">
        <f t="shared" si="146"/>
        <v>24</v>
      </c>
      <c r="FV30" s="28">
        <f t="shared" si="32"/>
      </c>
      <c r="FW30" s="26">
        <f t="shared" si="158"/>
      </c>
      <c r="FX30" s="28">
        <f t="shared" si="147"/>
      </c>
      <c r="FY30" s="26">
        <f ca="1">IF(FX30&lt;&gt;"",RANK(FX30,FX$11:INDIRECT(FX$7,FALSE)),"")</f>
      </c>
      <c r="FZ30" s="26">
        <f t="shared" si="148"/>
      </c>
      <c r="GA30" s="26">
        <f t="shared" si="81"/>
      </c>
      <c r="GC30" s="27">
        <f t="shared" si="33"/>
      </c>
      <c r="GD30" s="27">
        <f t="shared" si="34"/>
      </c>
      <c r="GE30" s="27">
        <f t="shared" si="82"/>
      </c>
      <c r="GF30" s="27">
        <f t="shared" si="149"/>
      </c>
      <c r="GG30" s="27">
        <f t="shared" si="150"/>
        <v>0</v>
      </c>
      <c r="GH30" s="26">
        <f t="shared" si="151"/>
        <v>0</v>
      </c>
      <c r="GI30" s="26">
        <f t="shared" si="152"/>
        <v>0</v>
      </c>
      <c r="GJ30" s="26">
        <f t="shared" si="153"/>
        <v>0</v>
      </c>
      <c r="GK30" s="26">
        <f t="shared" si="154"/>
      </c>
      <c r="GL30" s="28">
        <f t="shared" si="155"/>
      </c>
      <c r="GM30" s="26">
        <f t="shared" si="156"/>
      </c>
    </row>
    <row r="31" spans="1:195" ht="12.75">
      <c r="A31" s="16">
        <f t="shared" si="157"/>
        <v>21</v>
      </c>
      <c r="B31" s="17"/>
      <c r="C31" s="18" t="s">
        <v>101</v>
      </c>
      <c r="D31" s="19"/>
      <c r="E31" s="18"/>
      <c r="F31" s="18"/>
      <c r="G31" s="148"/>
      <c r="H31" s="122">
        <f t="shared" si="103"/>
      </c>
      <c r="I31" s="30">
        <f t="shared" si="104"/>
        <v>3918.5</v>
      </c>
      <c r="J31" s="30">
        <f>AD31+AO31+BA31+BM31+BY31+CK31+CW31+DI31+DU31+EG31-(MIN(EZ31:FI31)*$EY$2)</f>
        <v>3918.5</v>
      </c>
      <c r="K31" s="139">
        <f ca="1">IF(I31&lt;&gt;"",RANK(I31,J$11:INDIRECT(J$7,FALSE)),"")</f>
        <v>23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78.56</v>
      </c>
      <c r="AA31" s="103">
        <f t="shared" si="107"/>
        <v>78.56</v>
      </c>
      <c r="AB31" s="20"/>
      <c r="AC31" s="104">
        <f t="shared" si="108"/>
        <v>772</v>
      </c>
      <c r="AD31" s="104">
        <f t="shared" si="109"/>
        <v>772</v>
      </c>
      <c r="AE31" s="105">
        <f ca="1">IF(OR(Z31&lt;&gt;"",AB31&lt;&gt;""),RANK(AD31,AD$11:INDIRECT(AD$7,FALSE)),"")</f>
        <v>19</v>
      </c>
      <c r="AF31" s="106"/>
      <c r="AG31" s="107">
        <f t="shared" si="110"/>
        <v>772</v>
      </c>
      <c r="AH31" s="107">
        <f t="shared" si="111"/>
        <v>772</v>
      </c>
      <c r="AI31" s="108">
        <f ca="1">IF(OR(Z31&lt;&gt;"",AB31&lt;&gt;""),RANK(AH31,AH$11:INDIRECT(AH$7,FALSE)),"")</f>
        <v>19</v>
      </c>
      <c r="AJ31" s="109"/>
      <c r="AK31" s="4">
        <v>78.44</v>
      </c>
      <c r="AL31" s="103">
        <f t="shared" si="112"/>
        <v>78.44</v>
      </c>
      <c r="AM31" s="20"/>
      <c r="AN31" s="104">
        <f t="shared" si="113"/>
        <v>723.6</v>
      </c>
      <c r="AO31" s="104">
        <f t="shared" si="114"/>
        <v>723.6</v>
      </c>
      <c r="AP31" s="105">
        <f ca="1">IF(OR(AK31&lt;&gt;"",AM31&lt;&gt;""),RANK(AO31,AO$11:INDIRECT(AO$7,FALSE)),"")</f>
        <v>24</v>
      </c>
      <c r="AQ31" s="106"/>
      <c r="AR31" s="107">
        <f t="shared" si="3"/>
        <v>1495.6</v>
      </c>
      <c r="AS31" s="110">
        <f>IF(AND($F$8&lt;3,AR31&lt;&gt;""),HLOOKUP(MATCH(EQ31,EZ31:FA31,0),Discards,1,FALSE),"")</f>
      </c>
      <c r="AT31" s="107">
        <f t="shared" si="4"/>
        <v>1495.6</v>
      </c>
      <c r="AU31" s="108">
        <f ca="1">IF(OR(AK31&lt;&gt;"",AM31&lt;&gt;""),RANK(AT31,AT$11:INDIRECT(AT$7,FALSE)),"")</f>
        <v>24</v>
      </c>
      <c r="AV31" s="109"/>
      <c r="AW31" s="4">
        <v>70.32</v>
      </c>
      <c r="AX31" s="103">
        <f t="shared" si="95"/>
        <v>70.32</v>
      </c>
      <c r="AY31" s="20"/>
      <c r="AZ31" s="104">
        <f t="shared" si="115"/>
        <v>861.1</v>
      </c>
      <c r="BA31" s="104">
        <f t="shared" si="116"/>
        <v>861.1</v>
      </c>
      <c r="BB31" s="105">
        <f ca="1">IF(OR(AW31&lt;&gt;"",AY31&lt;&gt;""),RANK(BA31,BA$11:INDIRECT(BA$7,FALSE)),"")</f>
        <v>14</v>
      </c>
      <c r="BC31" s="106"/>
      <c r="BD31" s="107">
        <f t="shared" si="6"/>
        <v>2356.7</v>
      </c>
      <c r="BE31" s="110">
        <f>IF(AND($F$8&lt;4,BD31&lt;&gt;""),HLOOKUP(MATCH(ER31,EZ31:FB31,0),Discards,1,FALSE),"")</f>
      </c>
      <c r="BF31" s="107">
        <f t="shared" si="117"/>
        <v>2356.7</v>
      </c>
      <c r="BG31" s="108">
        <f ca="1">IF(OR(AW31&lt;&gt;"",AY31&lt;&gt;""),RANK(BF31,BF$11:INDIRECT(BF$7,FALSE)),"")</f>
        <v>23</v>
      </c>
      <c r="BH31" s="109"/>
      <c r="BI31" s="4">
        <v>69.15</v>
      </c>
      <c r="BJ31" s="103">
        <f t="shared" si="96"/>
        <v>69.15</v>
      </c>
      <c r="BK31" s="20"/>
      <c r="BL31" s="104">
        <f t="shared" si="118"/>
        <v>777.2</v>
      </c>
      <c r="BM31" s="104">
        <f t="shared" si="119"/>
        <v>777.2</v>
      </c>
      <c r="BN31" s="105">
        <f ca="1">IF(OR(BI31&lt;&gt;"",BK31&lt;&gt;""),RANK(BM31,BM$11:INDIRECT(BM$7,FALSE)),"")</f>
        <v>21</v>
      </c>
      <c r="BO31" s="106"/>
      <c r="BP31" s="107">
        <f t="shared" si="8"/>
        <v>3133.8999999999996</v>
      </c>
      <c r="BQ31" s="110">
        <f>IF(AND($F$8&lt;5,BP31&lt;&gt;""),HLOOKUP(MATCH(ES31,EZ31:FC31,0),Discards,1,FALSE),"")</f>
      </c>
      <c r="BR31" s="107">
        <f t="shared" si="120"/>
        <v>3133.8999999999996</v>
      </c>
      <c r="BS31" s="108">
        <f ca="1">IF(OR(BI31&lt;&gt;"",BK31&lt;&gt;""),RANK(BR31,BR$11:INDIRECT(BR$7,FALSE)),"")</f>
        <v>23</v>
      </c>
      <c r="BT31" s="109"/>
      <c r="BU31" s="4">
        <v>70.89</v>
      </c>
      <c r="BV31" s="103">
        <f t="shared" si="97"/>
        <v>70.89</v>
      </c>
      <c r="BW31" s="20"/>
      <c r="BX31" s="104">
        <f t="shared" si="121"/>
        <v>708.7</v>
      </c>
      <c r="BY31" s="104">
        <f t="shared" si="122"/>
        <v>708.7</v>
      </c>
      <c r="BZ31" s="105">
        <f ca="1">IF(OR(BU31&lt;&gt;"",BW31&lt;&gt;""),RANK(BY31,BY$11:INDIRECT(BY$7,FALSE)),"")</f>
        <v>17</v>
      </c>
      <c r="CA31" s="106"/>
      <c r="CB31" s="107">
        <f t="shared" si="10"/>
        <v>3133.8999999999996</v>
      </c>
      <c r="CC31" s="110">
        <f>IF(AND($F$8&lt;6,CB31&lt;&gt;""),HLOOKUP(MATCH(ET31,EZ31:FD31,0),Discards,1,FALSE),"")</f>
        <v>5</v>
      </c>
      <c r="CD31" s="107">
        <f t="shared" si="123"/>
        <v>3133.8999999999996</v>
      </c>
      <c r="CE31" s="108">
        <f ca="1">IF(OR(BU31&lt;&gt;"",BW31&lt;&gt;""),RANK(CD31,CD$11:INDIRECT(CD$7,FALSE)),"")</f>
        <v>23</v>
      </c>
      <c r="CF31" s="109"/>
      <c r="CG31" s="4">
        <v>80.03</v>
      </c>
      <c r="CH31" s="103">
        <f t="shared" si="98"/>
        <v>80.03</v>
      </c>
      <c r="CI31" s="20"/>
      <c r="CJ31" s="104">
        <f t="shared" si="124"/>
        <v>784.6</v>
      </c>
      <c r="CK31" s="104">
        <f t="shared" si="125"/>
        <v>784.6</v>
      </c>
      <c r="CL31" s="105">
        <f ca="1">IF(OR(CG31&lt;&gt;"",CI31&lt;&gt;""),RANK(CK31,CK$11:INDIRECT(CK$7,FALSE)),"")</f>
        <v>23</v>
      </c>
      <c r="CM31" s="106"/>
      <c r="CN31" s="107">
        <f t="shared" si="12"/>
        <v>3918.5</v>
      </c>
      <c r="CO31" s="110">
        <f>IF(AND($F$8&lt;7,CN31&lt;&gt;""),HLOOKUP(MATCH(EU31,EZ31:FE31,0),Discards,1,FALSE),"")</f>
        <v>5</v>
      </c>
      <c r="CP31" s="107">
        <f t="shared" si="126"/>
        <v>3918.5</v>
      </c>
      <c r="CQ31" s="108">
        <f ca="1">IF(OR(CG31&lt;&gt;"",CI31&lt;&gt;""),RANK(CP31,CP$11:INDIRECT(CP$7,FALSE)),"")</f>
        <v>23</v>
      </c>
      <c r="CR31" s="109"/>
      <c r="CS31" s="4"/>
      <c r="CT31" s="103">
        <f t="shared" si="99"/>
      </c>
      <c r="CU31" s="20"/>
      <c r="CV31" s="104">
        <f t="shared" si="127"/>
      </c>
      <c r="CW31" s="104">
        <f t="shared" si="128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21"/>
        <v>1</v>
      </c>
      <c r="EQ31" s="28">
        <f>MIN($EZ31:FA31)</f>
        <v>723.6</v>
      </c>
      <c r="ER31" s="28">
        <f>MIN($EZ31:FB31)</f>
        <v>723.6</v>
      </c>
      <c r="ES31" s="28">
        <f>MIN($EZ31:FC31)</f>
        <v>723.6</v>
      </c>
      <c r="ET31" s="28">
        <f>MIN($EZ31:FD31)</f>
        <v>708.7</v>
      </c>
      <c r="EU31" s="28">
        <f>MIN($EZ31:FE31)</f>
        <v>708.7</v>
      </c>
      <c r="EV31" s="28">
        <f>MIN($EZ31:FF31)</f>
        <v>708.7</v>
      </c>
      <c r="EW31" s="28">
        <f>MIN($EZ31:FG31)</f>
        <v>708.7</v>
      </c>
      <c r="EX31" s="28">
        <f>MIN($EZ31:FH31)</f>
        <v>708.7</v>
      </c>
      <c r="EY31" s="28">
        <f>MIN($EZ31:FI31)</f>
        <v>708.7</v>
      </c>
      <c r="EZ31" s="28">
        <f t="shared" si="22"/>
        <v>772</v>
      </c>
      <c r="FA31" s="28">
        <f t="shared" si="23"/>
        <v>723.6</v>
      </c>
      <c r="FB31" s="28">
        <f t="shared" si="24"/>
        <v>861.1</v>
      </c>
      <c r="FC31" s="28">
        <f t="shared" si="25"/>
        <v>777.2</v>
      </c>
      <c r="FD31" s="28">
        <f t="shared" si="26"/>
        <v>708.7</v>
      </c>
      <c r="FE31" s="28">
        <f t="shared" si="27"/>
        <v>784.6</v>
      </c>
      <c r="FF31" s="28">
        <f t="shared" si="28"/>
      </c>
      <c r="FG31" s="28">
        <f t="shared" si="29"/>
      </c>
      <c r="FH31" s="28">
        <f t="shared" si="30"/>
      </c>
      <c r="FI31" s="28">
        <f t="shared" si="31"/>
      </c>
      <c r="FL31" s="26">
        <f t="shared" si="139"/>
        <v>255000000</v>
      </c>
      <c r="FM31" s="26">
        <f t="shared" si="140"/>
        <v>255000</v>
      </c>
      <c r="FN31" s="26">
        <f t="shared" si="141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2"/>
        <v>255</v>
      </c>
      <c r="FR31" s="26">
        <f t="shared" si="143"/>
        <v>255</v>
      </c>
      <c r="FS31" s="26">
        <f t="shared" si="144"/>
        <v>255</v>
      </c>
      <c r="FT31" s="26">
        <f t="shared" si="145"/>
      </c>
      <c r="FU31" s="26">
        <f t="shared" si="146"/>
        <v>24</v>
      </c>
      <c r="FV31" s="28">
        <f t="shared" si="32"/>
      </c>
      <c r="FW31" s="26">
        <f t="shared" si="158"/>
      </c>
      <c r="FX31" s="28">
        <f t="shared" si="147"/>
      </c>
      <c r="FY31" s="26">
        <f ca="1">IF(FX31&lt;&gt;"",RANK(FX31,FX$11:INDIRECT(FX$7,FALSE)),"")</f>
      </c>
      <c r="FZ31" s="26">
        <f t="shared" si="148"/>
      </c>
      <c r="GA31" s="26">
        <f t="shared" si="81"/>
      </c>
      <c r="GC31" s="27">
        <f t="shared" si="33"/>
      </c>
      <c r="GD31" s="27">
        <f t="shared" si="34"/>
      </c>
      <c r="GE31" s="27">
        <f t="shared" si="82"/>
      </c>
      <c r="GF31" s="27">
        <f t="shared" si="149"/>
      </c>
      <c r="GG31" s="27">
        <f t="shared" si="150"/>
        <v>0</v>
      </c>
      <c r="GH31" s="26">
        <f t="shared" si="151"/>
        <v>0</v>
      </c>
      <c r="GI31" s="26">
        <f t="shared" si="152"/>
        <v>0</v>
      </c>
      <c r="GJ31" s="26">
        <f t="shared" si="153"/>
        <v>0</v>
      </c>
      <c r="GK31" s="26">
        <f t="shared" si="154"/>
      </c>
      <c r="GL31" s="28">
        <f t="shared" si="155"/>
      </c>
      <c r="GM31" s="26">
        <f t="shared" si="156"/>
      </c>
    </row>
    <row r="32" spans="1:195" ht="12.75">
      <c r="A32" s="132">
        <f t="shared" si="157"/>
        <v>22</v>
      </c>
      <c r="B32" s="133"/>
      <c r="C32" s="134" t="s">
        <v>112</v>
      </c>
      <c r="D32" s="135"/>
      <c r="E32" s="134"/>
      <c r="F32" s="134"/>
      <c r="G32" s="149"/>
      <c r="H32" s="136">
        <f t="shared" si="103"/>
      </c>
      <c r="I32" s="137">
        <f t="shared" si="104"/>
        <v>4355.8</v>
      </c>
      <c r="J32" s="137">
        <f>AD32+AO32+BA32+BM32+BY32+CK32+CW32+DI32+DU32+EG32-(MIN(EZ32:FI32)*$EY$2)</f>
        <v>4355.8</v>
      </c>
      <c r="K32" s="140">
        <f ca="1">IF(I32&lt;&gt;"",RANK(I32,J$11:INDIRECT(J$7,FALSE)),"")</f>
        <v>10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64.31</v>
      </c>
      <c r="AA32" s="113">
        <f t="shared" si="107"/>
        <v>64.31</v>
      </c>
      <c r="AB32" s="21"/>
      <c r="AC32" s="114">
        <f t="shared" si="108"/>
        <v>943.1</v>
      </c>
      <c r="AD32" s="114">
        <f t="shared" si="109"/>
        <v>943.1</v>
      </c>
      <c r="AE32" s="115">
        <f ca="1">IF(OR(Z32&lt;&gt;"",AB32&lt;&gt;""),RANK(AD32,AD$11:INDIRECT(AD$7,FALSE)),"")</f>
        <v>2</v>
      </c>
      <c r="AF32" s="116"/>
      <c r="AG32" s="117">
        <f t="shared" si="110"/>
        <v>943.1</v>
      </c>
      <c r="AH32" s="117">
        <f t="shared" si="111"/>
        <v>943.1</v>
      </c>
      <c r="AI32" s="118">
        <f ca="1">IF(OR(Z32&lt;&gt;"",AB32&lt;&gt;""),RANK(AH32,AH$11:INDIRECT(AH$7,FALSE)),"")</f>
        <v>2</v>
      </c>
      <c r="AJ32" s="119"/>
      <c r="AK32" s="5">
        <v>77.63</v>
      </c>
      <c r="AL32" s="113">
        <f t="shared" si="112"/>
        <v>77.63</v>
      </c>
      <c r="AM32" s="21"/>
      <c r="AN32" s="114">
        <f t="shared" si="113"/>
        <v>731.2</v>
      </c>
      <c r="AO32" s="114">
        <f t="shared" si="114"/>
        <v>731.2</v>
      </c>
      <c r="AP32" s="115">
        <f ca="1">IF(OR(AK32&lt;&gt;"",AM32&lt;&gt;""),RANK(AO32,AO$11:INDIRECT(AO$7,FALSE)),"")</f>
        <v>22</v>
      </c>
      <c r="AQ32" s="116"/>
      <c r="AR32" s="117">
        <f t="shared" si="3"/>
        <v>1674.3000000000002</v>
      </c>
      <c r="AS32" s="120">
        <f>IF(AND($F$8&lt;3,AR32&lt;&gt;""),HLOOKUP(MATCH(EQ32,EZ32:FA32,0),Discards,1,FALSE),"")</f>
      </c>
      <c r="AT32" s="117">
        <f t="shared" si="4"/>
        <v>1674.3000000000002</v>
      </c>
      <c r="AU32" s="118">
        <f ca="1">IF(OR(AK32&lt;&gt;"",AM32&lt;&gt;""),RANK(AT32,AT$11:INDIRECT(AT$7,FALSE)),"")</f>
        <v>10</v>
      </c>
      <c r="AV32" s="119"/>
      <c r="AW32" s="5">
        <v>64.46</v>
      </c>
      <c r="AX32" s="113">
        <f t="shared" si="95"/>
        <v>64.46</v>
      </c>
      <c r="AY32" s="21"/>
      <c r="AZ32" s="114">
        <f t="shared" si="115"/>
        <v>939.3</v>
      </c>
      <c r="BA32" s="114">
        <f t="shared" si="116"/>
        <v>939.3</v>
      </c>
      <c r="BB32" s="115">
        <f ca="1">IF(OR(AW32&lt;&gt;"",AY32&lt;&gt;""),RANK(BA32,BA$11:INDIRECT(BA$7,FALSE)),"")</f>
        <v>7</v>
      </c>
      <c r="BC32" s="116"/>
      <c r="BD32" s="117">
        <f t="shared" si="6"/>
        <v>2613.6000000000004</v>
      </c>
      <c r="BE32" s="120">
        <f>IF(AND($F$8&lt;4,BD32&lt;&gt;""),HLOOKUP(MATCH(ER32,EZ32:FB32,0),Discards,1,FALSE),"")</f>
      </c>
      <c r="BF32" s="117">
        <f t="shared" si="117"/>
        <v>2613.6000000000004</v>
      </c>
      <c r="BG32" s="118">
        <f ca="1">IF(OR(AW32&lt;&gt;"",AY32&lt;&gt;""),RANK(BF32,BF$11:INDIRECT(BF$7,FALSE)),"")</f>
        <v>7</v>
      </c>
      <c r="BH32" s="119"/>
      <c r="BI32" s="5">
        <v>58.02</v>
      </c>
      <c r="BJ32" s="113">
        <f t="shared" si="96"/>
        <v>58.02</v>
      </c>
      <c r="BK32" s="21"/>
      <c r="BL32" s="114">
        <f t="shared" si="118"/>
        <v>926.2</v>
      </c>
      <c r="BM32" s="114">
        <f t="shared" si="119"/>
        <v>926.2</v>
      </c>
      <c r="BN32" s="115">
        <f ca="1">IF(OR(BI32&lt;&gt;"",BK32&lt;&gt;""),RANK(BM32,BM$11:INDIRECT(BM$7,FALSE)),"")</f>
        <v>5</v>
      </c>
      <c r="BO32" s="116"/>
      <c r="BP32" s="117">
        <f t="shared" si="8"/>
        <v>3539.8</v>
      </c>
      <c r="BQ32" s="120">
        <f>IF(AND($F$8&lt;5,BP32&lt;&gt;""),HLOOKUP(MATCH(ES32,EZ32:FC32,0),Discards,1,FALSE),"")</f>
      </c>
      <c r="BR32" s="117">
        <f t="shared" si="120"/>
        <v>3539.8</v>
      </c>
      <c r="BS32" s="118">
        <f ca="1">IF(OR(BI32&lt;&gt;"",BK32&lt;&gt;""),RANK(BR32,BR$11:INDIRECT(BR$7,FALSE)),"")</f>
        <v>7</v>
      </c>
      <c r="BT32" s="119"/>
      <c r="BU32" s="5">
        <v>72.34</v>
      </c>
      <c r="BV32" s="113">
        <f t="shared" si="97"/>
        <v>72.34</v>
      </c>
      <c r="BW32" s="21"/>
      <c r="BX32" s="114">
        <f t="shared" si="121"/>
        <v>694.5</v>
      </c>
      <c r="BY32" s="114">
        <f t="shared" si="122"/>
        <v>694.5</v>
      </c>
      <c r="BZ32" s="115">
        <f ca="1">IF(OR(BU32&lt;&gt;"",BW32&lt;&gt;""),RANK(BY32,BY$11:INDIRECT(BY$7,FALSE)),"")</f>
        <v>21</v>
      </c>
      <c r="CA32" s="116"/>
      <c r="CB32" s="117">
        <f t="shared" si="10"/>
        <v>3539.8</v>
      </c>
      <c r="CC32" s="120">
        <f>IF(AND($F$8&lt;6,CB32&lt;&gt;""),HLOOKUP(MATCH(ET32,EZ32:FD32,0),Discards,1,FALSE),"")</f>
        <v>5</v>
      </c>
      <c r="CD32" s="117">
        <f t="shared" si="123"/>
        <v>3539.8</v>
      </c>
      <c r="CE32" s="118">
        <f ca="1">IF(OR(BU32&lt;&gt;"",BW32&lt;&gt;""),RANK(CD32,CD$11:INDIRECT(CD$7,FALSE)),"")</f>
        <v>7</v>
      </c>
      <c r="CF32" s="119"/>
      <c r="CG32" s="5">
        <v>76.95</v>
      </c>
      <c r="CH32" s="113">
        <f t="shared" si="98"/>
        <v>76.95</v>
      </c>
      <c r="CI32" s="21"/>
      <c r="CJ32" s="114">
        <f t="shared" si="124"/>
        <v>816</v>
      </c>
      <c r="CK32" s="114">
        <f t="shared" si="125"/>
        <v>816</v>
      </c>
      <c r="CL32" s="115">
        <f ca="1">IF(OR(CG32&lt;&gt;"",CI32&lt;&gt;""),RANK(CK32,CK$11:INDIRECT(CK$7,FALSE)),"")</f>
        <v>21</v>
      </c>
      <c r="CM32" s="116"/>
      <c r="CN32" s="117">
        <f t="shared" si="12"/>
        <v>4355.8</v>
      </c>
      <c r="CO32" s="120">
        <f>IF(AND($F$8&lt;7,CN32&lt;&gt;""),HLOOKUP(MATCH(EU32,EZ32:FE32,0),Discards,1,FALSE),"")</f>
        <v>5</v>
      </c>
      <c r="CP32" s="117">
        <f t="shared" si="126"/>
        <v>4355.8</v>
      </c>
      <c r="CQ32" s="118">
        <f ca="1">IF(OR(CG32&lt;&gt;"",CI32&lt;&gt;""),RANK(CP32,CP$11:INDIRECT(CP$7,FALSE)),"")</f>
        <v>10</v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21"/>
        <v>1</v>
      </c>
      <c r="EQ32" s="28">
        <f>MIN($EZ32:FA32)</f>
        <v>731.2</v>
      </c>
      <c r="ER32" s="28">
        <f>MIN($EZ32:FB32)</f>
        <v>731.2</v>
      </c>
      <c r="ES32" s="28">
        <f>MIN($EZ32:FC32)</f>
        <v>731.2</v>
      </c>
      <c r="ET32" s="28">
        <f>MIN($EZ32:FD32)</f>
        <v>694.5</v>
      </c>
      <c r="EU32" s="28">
        <f>MIN($EZ32:FE32)</f>
        <v>694.5</v>
      </c>
      <c r="EV32" s="28">
        <f>MIN($EZ32:FF32)</f>
        <v>694.5</v>
      </c>
      <c r="EW32" s="28">
        <f>MIN($EZ32:FG32)</f>
        <v>694.5</v>
      </c>
      <c r="EX32" s="28">
        <f>MIN($EZ32:FH32)</f>
        <v>694.5</v>
      </c>
      <c r="EY32" s="28">
        <f>MIN($EZ32:FI32)</f>
        <v>694.5</v>
      </c>
      <c r="EZ32" s="28">
        <f t="shared" si="22"/>
        <v>943.1</v>
      </c>
      <c r="FA32" s="28">
        <f t="shared" si="23"/>
        <v>731.2</v>
      </c>
      <c r="FB32" s="28">
        <f t="shared" si="24"/>
        <v>939.3</v>
      </c>
      <c r="FC32" s="28">
        <f t="shared" si="25"/>
        <v>926.2</v>
      </c>
      <c r="FD32" s="28">
        <f t="shared" si="26"/>
        <v>694.5</v>
      </c>
      <c r="FE32" s="28">
        <f t="shared" si="27"/>
        <v>816</v>
      </c>
      <c r="FF32" s="28">
        <f t="shared" si="28"/>
      </c>
      <c r="FG32" s="28">
        <f t="shared" si="29"/>
      </c>
      <c r="FH32" s="28">
        <f t="shared" si="30"/>
      </c>
      <c r="FI32" s="28">
        <f t="shared" si="31"/>
      </c>
      <c r="FL32" s="26">
        <f t="shared" si="139"/>
        <v>255000000</v>
      </c>
      <c r="FM32" s="26">
        <f t="shared" si="140"/>
        <v>255000</v>
      </c>
      <c r="FN32" s="26">
        <f t="shared" si="141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2"/>
        <v>255</v>
      </c>
      <c r="FR32" s="26">
        <f t="shared" si="143"/>
        <v>255</v>
      </c>
      <c r="FS32" s="26">
        <f t="shared" si="144"/>
        <v>255</v>
      </c>
      <c r="FT32" s="26">
        <f t="shared" si="145"/>
      </c>
      <c r="FU32" s="26">
        <f t="shared" si="146"/>
        <v>24</v>
      </c>
      <c r="FV32" s="28">
        <f t="shared" si="32"/>
      </c>
      <c r="FW32" s="26">
        <f t="shared" si="158"/>
      </c>
      <c r="FX32" s="28">
        <f t="shared" si="147"/>
      </c>
      <c r="FY32" s="26">
        <f ca="1">IF(FX32&lt;&gt;"",RANK(FX32,FX$11:INDIRECT(FX$7,FALSE)),"")</f>
      </c>
      <c r="FZ32" s="26">
        <f t="shared" si="148"/>
      </c>
      <c r="GA32" s="26">
        <f t="shared" si="81"/>
      </c>
      <c r="GC32" s="27">
        <f t="shared" si="33"/>
      </c>
      <c r="GD32" s="27">
        <f t="shared" si="34"/>
      </c>
      <c r="GE32" s="27">
        <f t="shared" si="82"/>
      </c>
      <c r="GF32" s="27">
        <f t="shared" si="149"/>
      </c>
      <c r="GG32" s="27">
        <f t="shared" si="150"/>
        <v>0</v>
      </c>
      <c r="GH32" s="26">
        <f t="shared" si="151"/>
        <v>0</v>
      </c>
      <c r="GI32" s="26">
        <f t="shared" si="152"/>
        <v>0</v>
      </c>
      <c r="GJ32" s="26">
        <f t="shared" si="153"/>
        <v>0</v>
      </c>
      <c r="GK32" s="26">
        <f t="shared" si="154"/>
      </c>
      <c r="GL32" s="28">
        <f t="shared" si="155"/>
      </c>
      <c r="GM32" s="26">
        <f t="shared" si="156"/>
      </c>
    </row>
    <row r="33" spans="1:195" ht="12.75">
      <c r="A33" s="132">
        <f t="shared" si="157"/>
        <v>23</v>
      </c>
      <c r="B33" s="133"/>
      <c r="C33" s="134" t="s">
        <v>102</v>
      </c>
      <c r="D33" s="135"/>
      <c r="E33" s="134"/>
      <c r="F33" s="134"/>
      <c r="G33" s="149"/>
      <c r="H33" s="136">
        <f t="shared" si="103"/>
      </c>
      <c r="I33" s="137">
        <f t="shared" si="104"/>
        <v>4812.2</v>
      </c>
      <c r="J33" s="137">
        <f>AD33+AO33+BA33+BM33+BY33+CK33+CW33+DI33+DU33+EG33-(MIN(EZ33:FI33)*$EY$2)</f>
        <v>4812.2</v>
      </c>
      <c r="K33" s="140">
        <f ca="1">IF(I33&lt;&gt;"",RANK(I33,J$11:INDIRECT(J$7,FALSE)),"")</f>
        <v>1</v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60.65</v>
      </c>
      <c r="AA33" s="113">
        <f t="shared" si="107"/>
        <v>60.65</v>
      </c>
      <c r="AB33" s="21"/>
      <c r="AC33" s="114">
        <f t="shared" si="108"/>
        <v>1000</v>
      </c>
      <c r="AD33" s="114">
        <f t="shared" si="109"/>
        <v>1000</v>
      </c>
      <c r="AE33" s="115">
        <f ca="1">IF(OR(Z33&lt;&gt;"",AB33&lt;&gt;""),RANK(AD33,AD$11:INDIRECT(AD$7,FALSE)),"")</f>
        <v>1</v>
      </c>
      <c r="AF33" s="116"/>
      <c r="AG33" s="117">
        <f t="shared" si="110"/>
        <v>1000</v>
      </c>
      <c r="AH33" s="117">
        <f t="shared" si="111"/>
        <v>1000</v>
      </c>
      <c r="AI33" s="118">
        <f ca="1">IF(OR(Z33&lt;&gt;"",AB33&lt;&gt;""),RANK(AH33,AH$11:INDIRECT(AH$7,FALSE)),"")</f>
        <v>1</v>
      </c>
      <c r="AJ33" s="119"/>
      <c r="AK33" s="5">
        <v>65.95</v>
      </c>
      <c r="AL33" s="113">
        <f t="shared" si="112"/>
        <v>65.95</v>
      </c>
      <c r="AM33" s="21"/>
      <c r="AN33" s="114">
        <f t="shared" si="113"/>
        <v>860.7</v>
      </c>
      <c r="AO33" s="114">
        <f t="shared" si="114"/>
        <v>860.7</v>
      </c>
      <c r="AP33" s="115">
        <f ca="1">IF(OR(AK33&lt;&gt;"",AM33&lt;&gt;""),RANK(AO33,AO$11:INDIRECT(AO$7,FALSE)),"")</f>
        <v>7</v>
      </c>
      <c r="AQ33" s="116"/>
      <c r="AR33" s="117">
        <f t="shared" si="3"/>
        <v>1860.7</v>
      </c>
      <c r="AS33" s="120">
        <f>IF(AND($F$8&lt;3,AR33&lt;&gt;""),HLOOKUP(MATCH(EQ33,EZ33:FA33,0),Discards,1,FALSE),"")</f>
      </c>
      <c r="AT33" s="117">
        <f t="shared" si="4"/>
        <v>1860.7</v>
      </c>
      <c r="AU33" s="118">
        <f ca="1">IF(OR(AK33&lt;&gt;"",AM33&lt;&gt;""),RANK(AT33,AT$11:INDIRECT(AT$7,FALSE)),"")</f>
        <v>2</v>
      </c>
      <c r="AV33" s="119"/>
      <c r="AW33" s="5">
        <v>62.71</v>
      </c>
      <c r="AX33" s="113">
        <f t="shared" si="95"/>
        <v>62.71</v>
      </c>
      <c r="AY33" s="21"/>
      <c r="AZ33" s="114">
        <f t="shared" si="115"/>
        <v>965.6</v>
      </c>
      <c r="BA33" s="114">
        <f t="shared" si="116"/>
        <v>965.6</v>
      </c>
      <c r="BB33" s="115">
        <f ca="1">IF(OR(AW33&lt;&gt;"",AY33&lt;&gt;""),RANK(BA33,BA$11:INDIRECT(BA$7,FALSE)),"")</f>
        <v>4</v>
      </c>
      <c r="BC33" s="116"/>
      <c r="BD33" s="117">
        <f t="shared" si="6"/>
        <v>2826.3</v>
      </c>
      <c r="BE33" s="120">
        <f>IF(AND($F$8&lt;4,BD33&lt;&gt;""),HLOOKUP(MATCH(ER33,EZ33:FB33,0),Discards,1,FALSE),"")</f>
      </c>
      <c r="BF33" s="117">
        <f t="shared" si="117"/>
        <v>2826.3</v>
      </c>
      <c r="BG33" s="118">
        <f ca="1">IF(OR(AW33&lt;&gt;"",AY33&lt;&gt;""),RANK(BF33,BF$11:INDIRECT(BF$7,FALSE)),"")</f>
        <v>2</v>
      </c>
      <c r="BH33" s="119"/>
      <c r="BI33" s="5">
        <v>62.89</v>
      </c>
      <c r="BJ33" s="113">
        <f t="shared" si="96"/>
        <v>62.89</v>
      </c>
      <c r="BK33" s="21"/>
      <c r="BL33" s="114">
        <f t="shared" si="118"/>
        <v>854.5</v>
      </c>
      <c r="BM33" s="114">
        <f t="shared" si="119"/>
        <v>854.5</v>
      </c>
      <c r="BN33" s="115">
        <f ca="1">IF(OR(BI33&lt;&gt;"",BK33&lt;&gt;""),RANK(BM33,BM$11:INDIRECT(BM$7,FALSE)),"")</f>
        <v>10</v>
      </c>
      <c r="BO33" s="116"/>
      <c r="BP33" s="117">
        <f t="shared" si="8"/>
        <v>3680.8</v>
      </c>
      <c r="BQ33" s="120">
        <f>IF(AND($F$8&lt;5,BP33&lt;&gt;""),HLOOKUP(MATCH(ES33,EZ33:FC33,0),Discards,1,FALSE),"")</f>
      </c>
      <c r="BR33" s="117">
        <f t="shared" si="120"/>
        <v>3680.8</v>
      </c>
      <c r="BS33" s="118">
        <f ca="1">IF(OR(BI33&lt;&gt;"",BK33&lt;&gt;""),RANK(BR33,BR$11:INDIRECT(BR$7,FALSE)),"")</f>
        <v>1</v>
      </c>
      <c r="BT33" s="119"/>
      <c r="BU33" s="5">
        <v>50.24</v>
      </c>
      <c r="BV33" s="113">
        <f t="shared" si="97"/>
        <v>50.24</v>
      </c>
      <c r="BW33" s="21"/>
      <c r="BX33" s="114">
        <f t="shared" si="121"/>
        <v>1000</v>
      </c>
      <c r="BY33" s="114">
        <f t="shared" si="122"/>
        <v>1000</v>
      </c>
      <c r="BZ33" s="115">
        <f ca="1">IF(OR(BU33&lt;&gt;"",BW33&lt;&gt;""),RANK(BY33,BY$11:INDIRECT(BY$7,FALSE)),"")</f>
        <v>1</v>
      </c>
      <c r="CA33" s="116"/>
      <c r="CB33" s="117">
        <f t="shared" si="10"/>
        <v>3826.3</v>
      </c>
      <c r="CC33" s="120">
        <f>IF(AND($F$8&lt;6,CB33&lt;&gt;""),HLOOKUP(MATCH(ET33,EZ33:FD33,0),Discards,1,FALSE),"")</f>
        <v>4</v>
      </c>
      <c r="CD33" s="117">
        <f t="shared" si="123"/>
        <v>3826.3</v>
      </c>
      <c r="CE33" s="118">
        <f ca="1">IF(OR(BU33&lt;&gt;"",BW33&lt;&gt;""),RANK(CD33,CD$11:INDIRECT(CD$7,FALSE)),"")</f>
        <v>1</v>
      </c>
      <c r="CF33" s="119"/>
      <c r="CG33" s="5">
        <v>63.69</v>
      </c>
      <c r="CH33" s="113">
        <f t="shared" si="98"/>
        <v>63.69</v>
      </c>
      <c r="CI33" s="21"/>
      <c r="CJ33" s="114">
        <f t="shared" si="124"/>
        <v>985.9</v>
      </c>
      <c r="CK33" s="114">
        <f t="shared" si="125"/>
        <v>985.9</v>
      </c>
      <c r="CL33" s="115">
        <f ca="1">IF(OR(CG33&lt;&gt;"",CI33&lt;&gt;""),RANK(CK33,CK$11:INDIRECT(CK$7,FALSE)),"")</f>
        <v>3</v>
      </c>
      <c r="CM33" s="116"/>
      <c r="CN33" s="117">
        <f t="shared" si="12"/>
        <v>4812.2</v>
      </c>
      <c r="CO33" s="120">
        <f>IF(AND($F$8&lt;7,CN33&lt;&gt;""),HLOOKUP(MATCH(EU33,EZ33:FE33,0),Discards,1,FALSE),"")</f>
        <v>4</v>
      </c>
      <c r="CP33" s="117">
        <f t="shared" si="126"/>
        <v>4812.2</v>
      </c>
      <c r="CQ33" s="118">
        <f ca="1">IF(OR(CG33&lt;&gt;"",CI33&lt;&gt;""),RANK(CP33,CP$11:INDIRECT(CP$7,FALSE)),"")</f>
        <v>1</v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21"/>
        <v>1</v>
      </c>
      <c r="EQ33" s="28">
        <f>MIN($EZ33:FA33)</f>
        <v>860.7</v>
      </c>
      <c r="ER33" s="28">
        <f>MIN($EZ33:FB33)</f>
        <v>860.7</v>
      </c>
      <c r="ES33" s="28">
        <f>MIN($EZ33:FC33)</f>
        <v>854.5</v>
      </c>
      <c r="ET33" s="28">
        <f>MIN($EZ33:FD33)</f>
        <v>854.5</v>
      </c>
      <c r="EU33" s="28">
        <f>MIN($EZ33:FE33)</f>
        <v>854.5</v>
      </c>
      <c r="EV33" s="28">
        <f>MIN($EZ33:FF33)</f>
        <v>854.5</v>
      </c>
      <c r="EW33" s="28">
        <f>MIN($EZ33:FG33)</f>
        <v>854.5</v>
      </c>
      <c r="EX33" s="28">
        <f>MIN($EZ33:FH33)</f>
        <v>854.5</v>
      </c>
      <c r="EY33" s="28">
        <f>MIN($EZ33:FI33)</f>
        <v>854.5</v>
      </c>
      <c r="EZ33" s="28">
        <f t="shared" si="22"/>
        <v>1000</v>
      </c>
      <c r="FA33" s="28">
        <f t="shared" si="23"/>
        <v>860.7</v>
      </c>
      <c r="FB33" s="28">
        <f t="shared" si="24"/>
        <v>965.6</v>
      </c>
      <c r="FC33" s="28">
        <f t="shared" si="25"/>
        <v>854.5</v>
      </c>
      <c r="FD33" s="28">
        <f t="shared" si="26"/>
        <v>1000</v>
      </c>
      <c r="FE33" s="28">
        <f t="shared" si="27"/>
        <v>985.9</v>
      </c>
      <c r="FF33" s="28">
        <f t="shared" si="28"/>
      </c>
      <c r="FG33" s="28">
        <f t="shared" si="29"/>
      </c>
      <c r="FH33" s="28">
        <f t="shared" si="30"/>
      </c>
      <c r="FI33" s="28">
        <f t="shared" si="31"/>
      </c>
      <c r="FL33" s="26">
        <f t="shared" si="139"/>
        <v>255000000</v>
      </c>
      <c r="FM33" s="26">
        <f t="shared" si="140"/>
        <v>255000</v>
      </c>
      <c r="FN33" s="26">
        <f t="shared" si="141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2"/>
        <v>255</v>
      </c>
      <c r="FR33" s="26">
        <f t="shared" si="143"/>
        <v>255</v>
      </c>
      <c r="FS33" s="26">
        <f t="shared" si="144"/>
        <v>255</v>
      </c>
      <c r="FT33" s="26">
        <f t="shared" si="145"/>
      </c>
      <c r="FU33" s="26">
        <f t="shared" si="146"/>
        <v>24</v>
      </c>
      <c r="FV33" s="28">
        <f t="shared" si="32"/>
      </c>
      <c r="FW33" s="26">
        <f t="shared" si="158"/>
      </c>
      <c r="FX33" s="28">
        <f t="shared" si="147"/>
      </c>
      <c r="FY33" s="26">
        <f ca="1">IF(FX33&lt;&gt;"",RANK(FX33,FX$11:INDIRECT(FX$7,FALSE)),"")</f>
      </c>
      <c r="FZ33" s="26">
        <f t="shared" si="148"/>
      </c>
      <c r="GA33" s="26">
        <f t="shared" si="81"/>
      </c>
      <c r="GC33" s="27">
        <f t="shared" si="33"/>
      </c>
      <c r="GD33" s="27">
        <f t="shared" si="34"/>
      </c>
      <c r="GE33" s="27">
        <f t="shared" si="82"/>
      </c>
      <c r="GF33" s="27">
        <f t="shared" si="149"/>
      </c>
      <c r="GG33" s="27">
        <f t="shared" si="150"/>
        <v>0</v>
      </c>
      <c r="GH33" s="26">
        <f t="shared" si="151"/>
        <v>0</v>
      </c>
      <c r="GI33" s="26">
        <f t="shared" si="152"/>
        <v>0</v>
      </c>
      <c r="GJ33" s="26">
        <f t="shared" si="153"/>
        <v>0</v>
      </c>
      <c r="GK33" s="26">
        <f t="shared" si="154"/>
      </c>
      <c r="GL33" s="28">
        <f t="shared" si="155"/>
      </c>
      <c r="GM33" s="26">
        <f t="shared" si="156"/>
      </c>
    </row>
    <row r="34" spans="1:195" ht="12.75">
      <c r="A34" s="132">
        <f t="shared" si="157"/>
        <v>24</v>
      </c>
      <c r="B34" s="133"/>
      <c r="C34" s="134" t="s">
        <v>103</v>
      </c>
      <c r="D34" s="135"/>
      <c r="E34" s="134"/>
      <c r="F34" s="134"/>
      <c r="G34" s="149"/>
      <c r="H34" s="136">
        <f t="shared" si="103"/>
      </c>
      <c r="I34" s="137">
        <f t="shared" si="104"/>
        <v>4319</v>
      </c>
      <c r="J34" s="137">
        <f>AD34+AO34+BA34+BM34+BY34+CK34+CW34+DI34+DU34+EG34-(MIN(EZ34:FI34)*$EY$2)</f>
        <v>4319</v>
      </c>
      <c r="K34" s="140">
        <f ca="1">IF(I34&lt;&gt;"",RANK(I34,J$11:INDIRECT(J$7,FALSE)),"")</f>
        <v>13</v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70.68</v>
      </c>
      <c r="AA34" s="113">
        <f t="shared" si="107"/>
        <v>70.68</v>
      </c>
      <c r="AB34" s="21"/>
      <c r="AC34" s="114">
        <f t="shared" si="108"/>
        <v>858.1</v>
      </c>
      <c r="AD34" s="114">
        <f t="shared" si="109"/>
        <v>858.1</v>
      </c>
      <c r="AE34" s="115">
        <f ca="1">IF(OR(Z34&lt;&gt;"",AB34&lt;&gt;""),RANK(AD34,AD$11:INDIRECT(AD$7,FALSE)),"")</f>
        <v>12</v>
      </c>
      <c r="AF34" s="116"/>
      <c r="AG34" s="117">
        <f t="shared" si="110"/>
        <v>858.1</v>
      </c>
      <c r="AH34" s="117">
        <f t="shared" si="111"/>
        <v>858.1</v>
      </c>
      <c r="AI34" s="118">
        <f ca="1">IF(OR(Z34&lt;&gt;"",AB34&lt;&gt;""),RANK(AH34,AH$11:INDIRECT(AH$7,FALSE)),"")</f>
        <v>12</v>
      </c>
      <c r="AJ34" s="119"/>
      <c r="AK34" s="5">
        <v>73.21</v>
      </c>
      <c r="AL34" s="113">
        <f t="shared" si="112"/>
        <v>73.21</v>
      </c>
      <c r="AM34" s="21"/>
      <c r="AN34" s="114">
        <f t="shared" si="113"/>
        <v>775.3</v>
      </c>
      <c r="AO34" s="114">
        <f t="shared" si="114"/>
        <v>775.3</v>
      </c>
      <c r="AP34" s="115">
        <f ca="1">IF(OR(AK34&lt;&gt;"",AM34&lt;&gt;""),RANK(AO34,AO$11:INDIRECT(AO$7,FALSE)),"")</f>
        <v>16</v>
      </c>
      <c r="AQ34" s="116"/>
      <c r="AR34" s="117">
        <f t="shared" si="3"/>
        <v>1633.4</v>
      </c>
      <c r="AS34" s="120">
        <f>IF(AND($F$8&lt;3,AR34&lt;&gt;""),HLOOKUP(MATCH(EQ34,EZ34:FA34,0),Discards,1,FALSE),"")</f>
      </c>
      <c r="AT34" s="117">
        <f t="shared" si="4"/>
        <v>1633.4</v>
      </c>
      <c r="AU34" s="118">
        <f ca="1">IF(OR(AK34&lt;&gt;"",AM34&lt;&gt;""),RANK(AT34,AT$11:INDIRECT(AT$7,FALSE)),"")</f>
        <v>16</v>
      </c>
      <c r="AV34" s="119"/>
      <c r="AW34" s="5">
        <v>72.01</v>
      </c>
      <c r="AX34" s="113">
        <f t="shared" si="95"/>
        <v>72.01</v>
      </c>
      <c r="AY34" s="21"/>
      <c r="AZ34" s="114">
        <f t="shared" si="115"/>
        <v>840.9</v>
      </c>
      <c r="BA34" s="114">
        <f t="shared" si="116"/>
        <v>840.9</v>
      </c>
      <c r="BB34" s="115">
        <f ca="1">IF(OR(AW34&lt;&gt;"",AY34&lt;&gt;""),RANK(BA34,BA$11:INDIRECT(BA$7,FALSE)),"")</f>
        <v>18</v>
      </c>
      <c r="BC34" s="116"/>
      <c r="BD34" s="117">
        <f t="shared" si="6"/>
        <v>2474.3</v>
      </c>
      <c r="BE34" s="120">
        <f>IF(AND($F$8&lt;4,BD34&lt;&gt;""),HLOOKUP(MATCH(ER34,EZ34:FB34,0),Discards,1,FALSE),"")</f>
      </c>
      <c r="BF34" s="117">
        <f t="shared" si="117"/>
        <v>2474.3</v>
      </c>
      <c r="BG34" s="118">
        <f ca="1">IF(OR(AW34&lt;&gt;"",AY34&lt;&gt;""),RANK(BF34,BF$11:INDIRECT(BF$7,FALSE)),"")</f>
        <v>15</v>
      </c>
      <c r="BH34" s="119"/>
      <c r="BI34" s="5">
        <v>64.31</v>
      </c>
      <c r="BJ34" s="113">
        <f t="shared" si="96"/>
        <v>64.31</v>
      </c>
      <c r="BK34" s="21"/>
      <c r="BL34" s="114">
        <f t="shared" si="118"/>
        <v>835.6</v>
      </c>
      <c r="BM34" s="114">
        <f t="shared" si="119"/>
        <v>835.6</v>
      </c>
      <c r="BN34" s="115">
        <f ca="1">IF(OR(BI34&lt;&gt;"",BK34&lt;&gt;""),RANK(BM34,BM$11:INDIRECT(BM$7,FALSE)),"")</f>
        <v>14</v>
      </c>
      <c r="BO34" s="116"/>
      <c r="BP34" s="117">
        <f t="shared" si="8"/>
        <v>3309.9</v>
      </c>
      <c r="BQ34" s="120">
        <f>IF(AND($F$8&lt;5,BP34&lt;&gt;""),HLOOKUP(MATCH(ES34,EZ34:FC34,0),Discards,1,FALSE),"")</f>
      </c>
      <c r="BR34" s="117">
        <f t="shared" si="120"/>
        <v>3309.9</v>
      </c>
      <c r="BS34" s="118">
        <f ca="1">IF(OR(BI34&lt;&gt;"",BK34&lt;&gt;""),RANK(BR34,BR$11:INDIRECT(BR$7,FALSE)),"")</f>
        <v>16</v>
      </c>
      <c r="BT34" s="119"/>
      <c r="BU34" s="5">
        <v>61.66</v>
      </c>
      <c r="BV34" s="113">
        <f t="shared" si="97"/>
        <v>61.66</v>
      </c>
      <c r="BW34" s="21"/>
      <c r="BX34" s="114">
        <f t="shared" si="121"/>
        <v>814.8</v>
      </c>
      <c r="BY34" s="114">
        <f t="shared" si="122"/>
        <v>814.8</v>
      </c>
      <c r="BZ34" s="115">
        <f ca="1">IF(OR(BU34&lt;&gt;"",BW34&lt;&gt;""),RANK(BY34,BY$11:INDIRECT(BY$7,FALSE)),"")</f>
        <v>6</v>
      </c>
      <c r="CA34" s="116"/>
      <c r="CB34" s="117">
        <f t="shared" si="10"/>
        <v>3349.3999999999996</v>
      </c>
      <c r="CC34" s="120">
        <f>IF(AND($F$8&lt;6,CB34&lt;&gt;""),HLOOKUP(MATCH(ET34,EZ34:FD34,0),Discards,1,FALSE),"")</f>
        <v>2</v>
      </c>
      <c r="CD34" s="117">
        <f t="shared" si="123"/>
        <v>3349.3999999999996</v>
      </c>
      <c r="CE34" s="118">
        <f ca="1">IF(OR(BU34&lt;&gt;"",BW34&lt;&gt;""),RANK(CD34,CD$11:INDIRECT(CD$7,FALSE)),"")</f>
        <v>15</v>
      </c>
      <c r="CF34" s="119"/>
      <c r="CG34" s="5">
        <v>64.76</v>
      </c>
      <c r="CH34" s="113">
        <f t="shared" si="98"/>
        <v>64.76</v>
      </c>
      <c r="CI34" s="21"/>
      <c r="CJ34" s="114">
        <f t="shared" si="124"/>
        <v>969.6</v>
      </c>
      <c r="CK34" s="114">
        <f t="shared" si="125"/>
        <v>969.6</v>
      </c>
      <c r="CL34" s="115">
        <f ca="1">IF(OR(CG34&lt;&gt;"",CI34&lt;&gt;""),RANK(CK34,CK$11:INDIRECT(CK$7,FALSE)),"")</f>
        <v>5</v>
      </c>
      <c r="CM34" s="116"/>
      <c r="CN34" s="117">
        <f t="shared" si="12"/>
        <v>4319</v>
      </c>
      <c r="CO34" s="120">
        <f>IF(AND($F$8&lt;7,CN34&lt;&gt;""),HLOOKUP(MATCH(EU34,EZ34:FE34,0),Discards,1,FALSE),"")</f>
        <v>2</v>
      </c>
      <c r="CP34" s="117">
        <f t="shared" si="126"/>
        <v>4319</v>
      </c>
      <c r="CQ34" s="118">
        <f ca="1">IF(OR(CG34&lt;&gt;"",CI34&lt;&gt;""),RANK(CP34,CP$11:INDIRECT(CP$7,FALSE)),"")</f>
        <v>13</v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21"/>
        <v>1</v>
      </c>
      <c r="EQ34" s="28">
        <f>MIN($EZ34:FA34)</f>
        <v>775.3</v>
      </c>
      <c r="ER34" s="28">
        <f>MIN($EZ34:FB34)</f>
        <v>775.3</v>
      </c>
      <c r="ES34" s="28">
        <f>MIN($EZ34:FC34)</f>
        <v>775.3</v>
      </c>
      <c r="ET34" s="28">
        <f>MIN($EZ34:FD34)</f>
        <v>775.3</v>
      </c>
      <c r="EU34" s="28">
        <f>MIN($EZ34:FE34)</f>
        <v>775.3</v>
      </c>
      <c r="EV34" s="28">
        <f>MIN($EZ34:FF34)</f>
        <v>775.3</v>
      </c>
      <c r="EW34" s="28">
        <f>MIN($EZ34:FG34)</f>
        <v>775.3</v>
      </c>
      <c r="EX34" s="28">
        <f>MIN($EZ34:FH34)</f>
        <v>775.3</v>
      </c>
      <c r="EY34" s="28">
        <f>MIN($EZ34:FI34)</f>
        <v>775.3</v>
      </c>
      <c r="EZ34" s="28">
        <f t="shared" si="22"/>
        <v>858.1</v>
      </c>
      <c r="FA34" s="28">
        <f t="shared" si="23"/>
        <v>775.3</v>
      </c>
      <c r="FB34" s="28">
        <f t="shared" si="24"/>
        <v>840.9</v>
      </c>
      <c r="FC34" s="28">
        <f t="shared" si="25"/>
        <v>835.6</v>
      </c>
      <c r="FD34" s="28">
        <f t="shared" si="26"/>
        <v>814.8</v>
      </c>
      <c r="FE34" s="28">
        <f t="shared" si="27"/>
        <v>969.6</v>
      </c>
      <c r="FF34" s="28">
        <f t="shared" si="28"/>
      </c>
      <c r="FG34" s="28">
        <f t="shared" si="29"/>
      </c>
      <c r="FH34" s="28">
        <f t="shared" si="30"/>
      </c>
      <c r="FI34" s="28">
        <f t="shared" si="31"/>
      </c>
      <c r="FL34" s="26">
        <f t="shared" si="139"/>
        <v>255000000</v>
      </c>
      <c r="FM34" s="26">
        <f t="shared" si="140"/>
        <v>255000</v>
      </c>
      <c r="FN34" s="26">
        <f t="shared" si="141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2"/>
        <v>255</v>
      </c>
      <c r="FR34" s="26">
        <f t="shared" si="143"/>
        <v>255</v>
      </c>
      <c r="FS34" s="26">
        <f t="shared" si="144"/>
        <v>255</v>
      </c>
      <c r="FT34" s="26">
        <f t="shared" si="145"/>
      </c>
      <c r="FU34" s="26">
        <f t="shared" si="146"/>
        <v>24</v>
      </c>
      <c r="FV34" s="28">
        <f t="shared" si="32"/>
      </c>
      <c r="FW34" s="26">
        <f t="shared" si="158"/>
      </c>
      <c r="FX34" s="28">
        <f t="shared" si="147"/>
      </c>
      <c r="FY34" s="26">
        <f ca="1">IF(FX34&lt;&gt;"",RANK(FX34,FX$11:INDIRECT(FX$7,FALSE)),"")</f>
      </c>
      <c r="FZ34" s="26">
        <f t="shared" si="148"/>
      </c>
      <c r="GA34" s="26">
        <f t="shared" si="81"/>
      </c>
      <c r="GC34" s="27">
        <f t="shared" si="33"/>
      </c>
      <c r="GD34" s="27">
        <f t="shared" si="34"/>
      </c>
      <c r="GE34" s="27">
        <f t="shared" si="82"/>
      </c>
      <c r="GF34" s="27">
        <f t="shared" si="149"/>
      </c>
      <c r="GG34" s="27">
        <f t="shared" si="150"/>
        <v>0</v>
      </c>
      <c r="GH34" s="26">
        <f t="shared" si="151"/>
        <v>0</v>
      </c>
      <c r="GI34" s="26">
        <f t="shared" si="152"/>
        <v>0</v>
      </c>
      <c r="GJ34" s="26">
        <f t="shared" si="153"/>
        <v>0</v>
      </c>
      <c r="GK34" s="26">
        <f t="shared" si="154"/>
      </c>
      <c r="GL34" s="28">
        <f t="shared" si="155"/>
      </c>
      <c r="GM34" s="26">
        <f t="shared" si="156"/>
      </c>
    </row>
    <row r="35" spans="1:195" ht="12.75">
      <c r="A35" s="16">
        <f t="shared" si="157"/>
        <v>25</v>
      </c>
      <c r="B35" s="17"/>
      <c r="C35" s="18" t="s">
        <v>113</v>
      </c>
      <c r="D35" s="19"/>
      <c r="E35" s="18"/>
      <c r="F35" s="18"/>
      <c r="G35" s="148"/>
      <c r="H35" s="122">
        <f t="shared" si="103"/>
      </c>
      <c r="I35" s="30">
        <f t="shared" si="104"/>
        <v>4623.799999999999</v>
      </c>
      <c r="J35" s="30">
        <f>AD35+AO35+BA35+BM35+BY35+CK35+CW35+DI35+DU35+EG35-(MIN(EZ35:FI35)*$EY$2)</f>
        <v>4623.799999999999</v>
      </c>
      <c r="K35" s="139">
        <f ca="1">IF(I35&lt;&gt;"",RANK(I35,J$11:INDIRECT(J$7,FALSE)),"")</f>
        <v>3</v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69.66</v>
      </c>
      <c r="AA35" s="103">
        <f t="shared" si="107"/>
        <v>69.66</v>
      </c>
      <c r="AB35" s="20"/>
      <c r="AC35" s="104">
        <f t="shared" si="108"/>
        <v>870.7</v>
      </c>
      <c r="AD35" s="104">
        <f t="shared" si="109"/>
        <v>870.7</v>
      </c>
      <c r="AE35" s="105">
        <f ca="1">IF(OR(Z35&lt;&gt;"",AB35&lt;&gt;""),RANK(AD35,AD$11:INDIRECT(AD$7,FALSE)),"")</f>
        <v>10</v>
      </c>
      <c r="AF35" s="106"/>
      <c r="AG35" s="107">
        <f t="shared" si="110"/>
        <v>870.7</v>
      </c>
      <c r="AH35" s="107">
        <f t="shared" si="111"/>
        <v>870.7</v>
      </c>
      <c r="AI35" s="108">
        <f ca="1">IF(OR(Z35&lt;&gt;"",AB35&lt;&gt;""),RANK(AH35,AH$11:INDIRECT(AH$7,FALSE)),"")</f>
        <v>10</v>
      </c>
      <c r="AJ35" s="109"/>
      <c r="AK35" s="4">
        <v>56.76</v>
      </c>
      <c r="AL35" s="103">
        <f t="shared" si="112"/>
        <v>56.76</v>
      </c>
      <c r="AM35" s="20"/>
      <c r="AN35" s="104">
        <f t="shared" si="113"/>
        <v>1000</v>
      </c>
      <c r="AO35" s="104">
        <f t="shared" si="114"/>
        <v>1000</v>
      </c>
      <c r="AP35" s="105">
        <f ca="1">IF(OR(AK35&lt;&gt;"",AM35&lt;&gt;""),RANK(AO35,AO$11:INDIRECT(AO$7,FALSE)),"")</f>
        <v>1</v>
      </c>
      <c r="AQ35" s="106"/>
      <c r="AR35" s="107">
        <f t="shared" si="3"/>
        <v>1870.7</v>
      </c>
      <c r="AS35" s="110">
        <f>IF(AND($F$8&lt;3,AR35&lt;&gt;""),HLOOKUP(MATCH(EQ35,EZ35:FA35,0),Discards,1,FALSE),"")</f>
      </c>
      <c r="AT35" s="107">
        <f t="shared" si="4"/>
        <v>1870.7</v>
      </c>
      <c r="AU35" s="108">
        <f ca="1">IF(OR(AK35&lt;&gt;"",AM35&lt;&gt;""),RANK(AT35,AT$11:INDIRECT(AT$7,FALSE)),"")</f>
        <v>1</v>
      </c>
      <c r="AV35" s="109"/>
      <c r="AW35" s="4">
        <v>62.68</v>
      </c>
      <c r="AX35" s="103">
        <f t="shared" si="95"/>
        <v>62.68</v>
      </c>
      <c r="AY35" s="20"/>
      <c r="AZ35" s="104">
        <f t="shared" si="115"/>
        <v>966</v>
      </c>
      <c r="BA35" s="104">
        <f t="shared" si="116"/>
        <v>966</v>
      </c>
      <c r="BB35" s="105">
        <f ca="1">IF(OR(AW35&lt;&gt;"",AY35&lt;&gt;""),RANK(BA35,BA$11:INDIRECT(BA$7,FALSE)),"")</f>
        <v>3</v>
      </c>
      <c r="BC35" s="106"/>
      <c r="BD35" s="107">
        <f t="shared" si="6"/>
        <v>2836.7</v>
      </c>
      <c r="BE35" s="110">
        <f>IF(AND($F$8&lt;4,BD35&lt;&gt;""),HLOOKUP(MATCH(ER35,EZ35:FB35,0),Discards,1,FALSE),"")</f>
      </c>
      <c r="BF35" s="107">
        <f t="shared" si="117"/>
        <v>2836.7</v>
      </c>
      <c r="BG35" s="108">
        <f ca="1">IF(OR(AW35&lt;&gt;"",AY35&lt;&gt;""),RANK(BF35,BF$11:INDIRECT(BF$7,FALSE)),"")</f>
        <v>1</v>
      </c>
      <c r="BH35" s="109"/>
      <c r="BI35" s="4">
        <v>65.84</v>
      </c>
      <c r="BJ35" s="103">
        <f t="shared" si="96"/>
        <v>65.84</v>
      </c>
      <c r="BK35" s="20"/>
      <c r="BL35" s="104">
        <f t="shared" si="118"/>
        <v>816.2</v>
      </c>
      <c r="BM35" s="104">
        <f t="shared" si="119"/>
        <v>816.2</v>
      </c>
      <c r="BN35" s="105">
        <f ca="1">IF(OR(BI35&lt;&gt;"",BK35&lt;&gt;""),RANK(BM35,BM$11:INDIRECT(BM$7,FALSE)),"")</f>
        <v>19</v>
      </c>
      <c r="BO35" s="106"/>
      <c r="BP35" s="107">
        <f t="shared" si="8"/>
        <v>3652.8999999999996</v>
      </c>
      <c r="BQ35" s="110">
        <f>IF(AND($F$8&lt;5,BP35&lt;&gt;""),HLOOKUP(MATCH(ES35,EZ35:FC35,0),Discards,1,FALSE),"")</f>
      </c>
      <c r="BR35" s="107">
        <f t="shared" si="120"/>
        <v>3652.8999999999996</v>
      </c>
      <c r="BS35" s="108">
        <f ca="1">IF(OR(BI35&lt;&gt;"",BK35&lt;&gt;""),RANK(BR35,BR$11:INDIRECT(BR$7,FALSE)),"")</f>
        <v>2</v>
      </c>
      <c r="BT35" s="109"/>
      <c r="BU35" s="4">
        <v>62.54</v>
      </c>
      <c r="BV35" s="103">
        <f t="shared" si="97"/>
        <v>62.54</v>
      </c>
      <c r="BW35" s="20"/>
      <c r="BX35" s="104">
        <f t="shared" si="121"/>
        <v>803.3</v>
      </c>
      <c r="BY35" s="104">
        <f t="shared" si="122"/>
        <v>803.3</v>
      </c>
      <c r="BZ35" s="105">
        <f ca="1">IF(OR(BU35&lt;&gt;"",BW35&lt;&gt;""),RANK(BY35,BY$11:INDIRECT(BY$7,FALSE)),"")</f>
        <v>8</v>
      </c>
      <c r="CA35" s="106"/>
      <c r="CB35" s="107">
        <f t="shared" si="10"/>
        <v>3652.8999999999996</v>
      </c>
      <c r="CC35" s="110">
        <f>IF(AND($F$8&lt;6,CB35&lt;&gt;""),HLOOKUP(MATCH(ET35,EZ35:FD35,0),Discards,1,FALSE),"")</f>
        <v>5</v>
      </c>
      <c r="CD35" s="107">
        <f t="shared" si="123"/>
        <v>3652.8999999999996</v>
      </c>
      <c r="CE35" s="108">
        <f ca="1">IF(OR(BU35&lt;&gt;"",BW35&lt;&gt;""),RANK(CD35,CD$11:INDIRECT(CD$7,FALSE)),"")</f>
        <v>3</v>
      </c>
      <c r="CF35" s="109"/>
      <c r="CG35" s="4">
        <v>64.67</v>
      </c>
      <c r="CH35" s="103">
        <f t="shared" si="98"/>
        <v>64.67</v>
      </c>
      <c r="CI35" s="20"/>
      <c r="CJ35" s="104">
        <f t="shared" si="124"/>
        <v>970.9</v>
      </c>
      <c r="CK35" s="104">
        <f t="shared" si="125"/>
        <v>970.9</v>
      </c>
      <c r="CL35" s="105">
        <f ca="1">IF(OR(CG35&lt;&gt;"",CI35&lt;&gt;""),RANK(CK35,CK$11:INDIRECT(CK$7,FALSE)),"")</f>
        <v>4</v>
      </c>
      <c r="CM35" s="106"/>
      <c r="CN35" s="107">
        <f t="shared" si="12"/>
        <v>4623.799999999999</v>
      </c>
      <c r="CO35" s="110">
        <f>IF(AND($F$8&lt;7,CN35&lt;&gt;""),HLOOKUP(MATCH(EU35,EZ35:FE35,0),Discards,1,FALSE),"")</f>
        <v>5</v>
      </c>
      <c r="CP35" s="107">
        <f t="shared" si="126"/>
        <v>4623.799999999999</v>
      </c>
      <c r="CQ35" s="108">
        <f ca="1">IF(OR(CG35&lt;&gt;"",CI35&lt;&gt;""),RANK(CP35,CP$11:INDIRECT(CP$7,FALSE)),"")</f>
        <v>3</v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21"/>
        <v>1</v>
      </c>
      <c r="EQ35" s="28">
        <f>MIN($EZ35:FA35)</f>
        <v>870.7</v>
      </c>
      <c r="ER35" s="28">
        <f>MIN($EZ35:FB35)</f>
        <v>870.7</v>
      </c>
      <c r="ES35" s="28">
        <f>MIN($EZ35:FC35)</f>
        <v>816.2</v>
      </c>
      <c r="ET35" s="28">
        <f>MIN($EZ35:FD35)</f>
        <v>803.3</v>
      </c>
      <c r="EU35" s="28">
        <f>MIN($EZ35:FE35)</f>
        <v>803.3</v>
      </c>
      <c r="EV35" s="28">
        <f>MIN($EZ35:FF35)</f>
        <v>803.3</v>
      </c>
      <c r="EW35" s="28">
        <f>MIN($EZ35:FG35)</f>
        <v>803.3</v>
      </c>
      <c r="EX35" s="28">
        <f>MIN($EZ35:FH35)</f>
        <v>803.3</v>
      </c>
      <c r="EY35" s="28">
        <f>MIN($EZ35:FI35)</f>
        <v>803.3</v>
      </c>
      <c r="EZ35" s="28">
        <f t="shared" si="22"/>
        <v>870.7</v>
      </c>
      <c r="FA35" s="28">
        <f t="shared" si="23"/>
        <v>1000</v>
      </c>
      <c r="FB35" s="28">
        <f t="shared" si="24"/>
        <v>966</v>
      </c>
      <c r="FC35" s="28">
        <f t="shared" si="25"/>
        <v>816.2</v>
      </c>
      <c r="FD35" s="28">
        <f t="shared" si="26"/>
        <v>803.3</v>
      </c>
      <c r="FE35" s="28">
        <f t="shared" si="27"/>
        <v>970.9</v>
      </c>
      <c r="FF35" s="28">
        <f t="shared" si="28"/>
      </c>
      <c r="FG35" s="28">
        <f t="shared" si="29"/>
      </c>
      <c r="FH35" s="28">
        <f t="shared" si="30"/>
      </c>
      <c r="FI35" s="28">
        <f t="shared" si="31"/>
      </c>
      <c r="FL35" s="26">
        <f t="shared" si="139"/>
        <v>255000000</v>
      </c>
      <c r="FM35" s="26">
        <f t="shared" si="140"/>
        <v>255000</v>
      </c>
      <c r="FN35" s="26">
        <f t="shared" si="141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42"/>
        <v>255</v>
      </c>
      <c r="FR35" s="26">
        <f t="shared" si="143"/>
        <v>255</v>
      </c>
      <c r="FS35" s="26">
        <f t="shared" si="144"/>
        <v>255</v>
      </c>
      <c r="FT35" s="26">
        <f t="shared" si="145"/>
      </c>
      <c r="FU35" s="26">
        <f t="shared" si="146"/>
        <v>24</v>
      </c>
      <c r="FV35" s="28">
        <f t="shared" si="32"/>
      </c>
      <c r="FW35" s="26">
        <f t="shared" si="158"/>
      </c>
      <c r="FX35" s="28">
        <f t="shared" si="147"/>
      </c>
      <c r="FY35" s="26">
        <f ca="1">IF(FX35&lt;&gt;"",RANK(FX35,FX$11:INDIRECT(FX$7,FALSE)),"")</f>
      </c>
      <c r="FZ35" s="26">
        <f t="shared" si="148"/>
      </c>
      <c r="GA35" s="26">
        <f t="shared" si="81"/>
      </c>
      <c r="GC35" s="27">
        <f t="shared" si="33"/>
      </c>
      <c r="GD35" s="27">
        <f t="shared" si="34"/>
      </c>
      <c r="GE35" s="27">
        <f t="shared" si="82"/>
      </c>
      <c r="GF35" s="27">
        <f t="shared" si="149"/>
      </c>
      <c r="GG35" s="27">
        <f t="shared" si="150"/>
        <v>0</v>
      </c>
      <c r="GH35" s="26">
        <f t="shared" si="151"/>
        <v>0</v>
      </c>
      <c r="GI35" s="26">
        <f t="shared" si="152"/>
        <v>0</v>
      </c>
      <c r="GJ35" s="26">
        <f t="shared" si="153"/>
        <v>0</v>
      </c>
      <c r="GK35" s="26">
        <f t="shared" si="154"/>
      </c>
      <c r="GL35" s="28">
        <f t="shared" si="155"/>
      </c>
      <c r="GM35" s="26">
        <f t="shared" si="156"/>
      </c>
    </row>
    <row r="36" spans="1:195" ht="12.75">
      <c r="A36" s="16">
        <f t="shared" si="157"/>
        <v>26</v>
      </c>
      <c r="B36" s="17"/>
      <c r="C36" s="18"/>
      <c r="D36" s="19"/>
      <c r="E36" s="18"/>
      <c r="F36" s="18"/>
      <c r="G36" s="148"/>
      <c r="H36" s="122">
        <f t="shared" si="103"/>
      </c>
      <c r="I36" s="30">
        <f t="shared" si="104"/>
      </c>
      <c r="J36" s="30">
        <f>AD36+AO36+BA36+BM36+BY36+CK36+CW36+DI36+DU36+EG36-(MIN(EZ36:FI36)*$EY$2)</f>
        <v>0</v>
      </c>
      <c r="K36" s="139">
        <f ca="1">IF(I36&lt;&gt;"",RANK(I36,J$11:INDIRECT(J$7,FALSE)),"")</f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107"/>
      </c>
      <c r="AB36" s="20"/>
      <c r="AC36" s="104">
        <f t="shared" si="108"/>
      </c>
      <c r="AD36" s="104">
        <f t="shared" si="109"/>
        <v>0</v>
      </c>
      <c r="AE36" s="105">
        <f ca="1">IF(OR(Z36&lt;&gt;"",AB36&lt;&gt;""),RANK(AD36,AD$11:INDIRECT(AD$7,FALSE)),"")</f>
      </c>
      <c r="AF36" s="106"/>
      <c r="AG36" s="107">
        <f t="shared" si="110"/>
      </c>
      <c r="AH36" s="107">
        <f t="shared" si="111"/>
        <v>0</v>
      </c>
      <c r="AI36" s="108">
        <f ca="1">IF(OR(Z36&lt;&gt;"",AB36&lt;&gt;""),RANK(AH36,AH$11:INDIRECT(AH$7,FALSE)),"")</f>
      </c>
      <c r="AJ36" s="109"/>
      <c r="AK36" s="4"/>
      <c r="AL36" s="103">
        <f t="shared" si="112"/>
      </c>
      <c r="AM36" s="20"/>
      <c r="AN36" s="104">
        <f t="shared" si="113"/>
      </c>
      <c r="AO36" s="104">
        <f t="shared" si="114"/>
        <v>0</v>
      </c>
      <c r="AP36" s="105">
        <f ca="1">IF(OR(AK36&lt;&gt;"",AM36&lt;&gt;""),RANK(AO36,AO$11:INDIRECT(AO$7,FALSE)),"")</f>
      </c>
      <c r="AQ36" s="106"/>
      <c r="AR36" s="107">
        <f t="shared" si="3"/>
      </c>
      <c r="AS36" s="110">
        <f>IF(AND($F$8&lt;3,AR36&lt;&gt;""),HLOOKUP(MATCH(EQ36,EZ36:FA36,0),Discards,1,FALSE),"")</f>
      </c>
      <c r="AT36" s="107">
        <f t="shared" si="4"/>
        <v>0</v>
      </c>
      <c r="AU36" s="108">
        <f ca="1">IF(OR(AK36&lt;&gt;"",AM36&lt;&gt;""),RANK(AT36,AT$11:INDIRECT(AT$7,FALSE)),"")</f>
      </c>
      <c r="AV36" s="109"/>
      <c r="AW36" s="4"/>
      <c r="AX36" s="103">
        <f t="shared" si="95"/>
      </c>
      <c r="AY36" s="20"/>
      <c r="AZ36" s="104">
        <f t="shared" si="115"/>
      </c>
      <c r="BA36" s="104">
        <f t="shared" si="116"/>
        <v>0</v>
      </c>
      <c r="BB36" s="105">
        <f ca="1">IF(OR(AW36&lt;&gt;"",AY36&lt;&gt;""),RANK(BA36,BA$11:INDIRECT(BA$7,FALSE)),"")</f>
      </c>
      <c r="BC36" s="106"/>
      <c r="BD36" s="107">
        <f t="shared" si="6"/>
      </c>
      <c r="BE36" s="110">
        <f>IF(AND($F$8&lt;4,BD36&lt;&gt;""),HLOOKUP(MATCH(ER36,EZ36:FB36,0),Discards,1,FALSE),"")</f>
      </c>
      <c r="BF36" s="107">
        <f t="shared" si="117"/>
        <v>0</v>
      </c>
      <c r="BG36" s="108">
        <f ca="1">IF(OR(AW36&lt;&gt;"",AY36&lt;&gt;""),RANK(BF36,BF$11:INDIRECT(BF$7,FALSE)),"")</f>
      </c>
      <c r="BH36" s="109"/>
      <c r="BI36" s="4"/>
      <c r="BJ36" s="103">
        <f t="shared" si="96"/>
      </c>
      <c r="BK36" s="20"/>
      <c r="BL36" s="104">
        <f t="shared" si="118"/>
      </c>
      <c r="BM36" s="104">
        <f t="shared" si="119"/>
        <v>0</v>
      </c>
      <c r="BN36" s="105">
        <f ca="1">IF(OR(BI36&lt;&gt;"",BK36&lt;&gt;""),RANK(BM36,BM$11:INDIRECT(BM$7,FALSE)),"")</f>
      </c>
      <c r="BO36" s="106"/>
      <c r="BP36" s="107">
        <f t="shared" si="8"/>
      </c>
      <c r="BQ36" s="110">
        <f>IF(AND($F$8&lt;5,BP36&lt;&gt;""),HLOOKUP(MATCH(ES36,EZ36:FC36,0),Discards,1,FALSE),"")</f>
      </c>
      <c r="BR36" s="107">
        <f t="shared" si="120"/>
        <v>0</v>
      </c>
      <c r="BS36" s="108">
        <f ca="1">IF(OR(BI36&lt;&gt;"",BK36&lt;&gt;""),RANK(BR36,BR$11:INDIRECT(BR$7,FALSE)),"")</f>
      </c>
      <c r="BT36" s="109"/>
      <c r="BU36" s="4"/>
      <c r="BV36" s="103">
        <f t="shared" si="97"/>
      </c>
      <c r="BW36" s="20"/>
      <c r="BX36" s="104">
        <f t="shared" si="121"/>
      </c>
      <c r="BY36" s="104">
        <f t="shared" si="122"/>
        <v>0</v>
      </c>
      <c r="BZ36" s="105">
        <f ca="1">IF(OR(BU36&lt;&gt;"",BW36&lt;&gt;""),RANK(BY36,BY$11:INDIRECT(BY$7,FALSE)),"")</f>
      </c>
      <c r="CA36" s="106"/>
      <c r="CB36" s="107">
        <f t="shared" si="10"/>
      </c>
      <c r="CC36" s="110">
        <f>IF(AND($F$8&lt;6,CB36&lt;&gt;""),HLOOKUP(MATCH(ET36,EZ36:FD36,0),Discards,1,FALSE),"")</f>
      </c>
      <c r="CD36" s="107">
        <f t="shared" si="123"/>
        <v>0</v>
      </c>
      <c r="CE36" s="108">
        <f ca="1">IF(OR(BU36&lt;&gt;"",BW36&lt;&gt;""),RANK(CD36,CD$11:INDIRECT(CD$7,FALSE)),"")</f>
      </c>
      <c r="CF36" s="109"/>
      <c r="CG36" s="4"/>
      <c r="CH36" s="103">
        <f t="shared" si="98"/>
      </c>
      <c r="CI36" s="20"/>
      <c r="CJ36" s="104">
        <f t="shared" si="124"/>
      </c>
      <c r="CK36" s="104">
        <f t="shared" si="125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6"/>
        <v>0</v>
      </c>
      <c r="CQ36" s="108">
        <f ca="1">IF(OR(CG36&lt;&gt;"",CI36&lt;&gt;""),RANK(CP36,CP$11:INDIRECT(CP$7,FALSE)),"")</f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21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2"/>
      </c>
      <c r="FA36" s="28">
        <f t="shared" si="23"/>
      </c>
      <c r="FB36" s="28">
        <f t="shared" si="24"/>
      </c>
      <c r="FC36" s="28">
        <f t="shared" si="25"/>
      </c>
      <c r="FD36" s="28">
        <f t="shared" si="26"/>
      </c>
      <c r="FE36" s="28">
        <f t="shared" si="27"/>
      </c>
      <c r="FF36" s="28">
        <f t="shared" si="28"/>
      </c>
      <c r="FG36" s="28">
        <f t="shared" si="29"/>
      </c>
      <c r="FH36" s="28">
        <f t="shared" si="30"/>
      </c>
      <c r="FI36" s="28">
        <f t="shared" si="31"/>
      </c>
      <c r="FL36" s="26">
        <f t="shared" si="139"/>
        <v>255000000</v>
      </c>
      <c r="FM36" s="26">
        <f t="shared" si="140"/>
        <v>255000</v>
      </c>
      <c r="FN36" s="26">
        <f t="shared" si="141"/>
        <v>255</v>
      </c>
      <c r="FO36" s="26">
        <f>IF(C36&lt;&gt;"",SUM(FL36:FN36),0)</f>
        <v>0</v>
      </c>
      <c r="FP36" s="26">
        <f ca="1">IF(FO36&gt;0,SMALL($FO$11:INDIRECT($FO$7,FALSE),A36),0)</f>
        <v>0</v>
      </c>
      <c r="FQ36" s="26">
        <f t="shared" si="142"/>
        <v>0</v>
      </c>
      <c r="FR36" s="26">
        <f t="shared" si="143"/>
        <v>0</v>
      </c>
      <c r="FS36" s="26">
        <f t="shared" si="144"/>
        <v>0</v>
      </c>
      <c r="FT36" s="26">
        <f t="shared" si="145"/>
      </c>
      <c r="FU36" s="26">
        <f t="shared" si="146"/>
        <v>24</v>
      </c>
      <c r="FV36" s="28">
        <f t="shared" si="32"/>
      </c>
      <c r="FW36" s="26">
        <f t="shared" si="158"/>
      </c>
      <c r="FX36" s="28">
        <f t="shared" si="147"/>
      </c>
      <c r="FY36" s="26">
        <f ca="1">IF(FX36&lt;&gt;"",RANK(FX36,FX$11:INDIRECT(FX$7,FALSE)),"")</f>
      </c>
      <c r="FZ36" s="26">
        <f t="shared" si="148"/>
      </c>
      <c r="GA36" s="26">
        <f t="shared" si="81"/>
      </c>
      <c r="GC36" s="27">
        <f t="shared" si="33"/>
      </c>
      <c r="GD36" s="27">
        <f t="shared" si="34"/>
      </c>
      <c r="GE36" s="27">
        <f t="shared" si="82"/>
      </c>
      <c r="GF36" s="27">
        <f t="shared" si="149"/>
      </c>
      <c r="GG36" s="27">
        <f t="shared" si="150"/>
        <v>0</v>
      </c>
      <c r="GH36" s="26">
        <f t="shared" si="151"/>
        <v>0</v>
      </c>
      <c r="GI36" s="26">
        <f t="shared" si="152"/>
        <v>0</v>
      </c>
      <c r="GJ36" s="26">
        <f t="shared" si="153"/>
        <v>0</v>
      </c>
      <c r="GK36" s="26">
        <f t="shared" si="154"/>
      </c>
      <c r="GL36" s="28">
        <f t="shared" si="155"/>
      </c>
      <c r="GM36" s="26">
        <f t="shared" si="156"/>
      </c>
    </row>
    <row r="37" spans="1:195" ht="12.75">
      <c r="A37" s="16">
        <f t="shared" si="157"/>
        <v>27</v>
      </c>
      <c r="B37" s="17"/>
      <c r="C37" s="18"/>
      <c r="D37" s="19"/>
      <c r="E37" s="18"/>
      <c r="F37" s="18"/>
      <c r="G37" s="148"/>
      <c r="H37" s="122">
        <f t="shared" si="103"/>
      </c>
      <c r="I37" s="30">
        <f t="shared" si="104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07"/>
      </c>
      <c r="AB37" s="20"/>
      <c r="AC37" s="104">
        <f t="shared" si="108"/>
      </c>
      <c r="AD37" s="104">
        <f t="shared" si="109"/>
        <v>0</v>
      </c>
      <c r="AE37" s="105">
        <f ca="1">IF(OR(Z37&lt;&gt;"",AB37&lt;&gt;""),RANK(AD37,AD$11:INDIRECT(AD$7,FALSE)),"")</f>
      </c>
      <c r="AF37" s="106"/>
      <c r="AG37" s="107">
        <f t="shared" si="110"/>
      </c>
      <c r="AH37" s="107">
        <f t="shared" si="111"/>
        <v>0</v>
      </c>
      <c r="AI37" s="108">
        <f ca="1">IF(OR(Z37&lt;&gt;"",AB37&lt;&gt;""),RANK(AH37,AH$11:INDIRECT(AH$7,FALSE)),"")</f>
      </c>
      <c r="AJ37" s="109"/>
      <c r="AK37" s="4"/>
      <c r="AL37" s="103">
        <f t="shared" si="112"/>
      </c>
      <c r="AM37" s="20"/>
      <c r="AN37" s="104">
        <f t="shared" si="113"/>
      </c>
      <c r="AO37" s="104">
        <f t="shared" si="114"/>
        <v>0</v>
      </c>
      <c r="AP37" s="105">
        <f ca="1">IF(OR(AK37&lt;&gt;"",AM37&lt;&gt;""),RANK(AO37,AO$11:INDIRECT(AO$7,FALSE)),"")</f>
      </c>
      <c r="AQ37" s="106"/>
      <c r="AR37" s="107">
        <f t="shared" si="3"/>
      </c>
      <c r="AS37" s="110">
        <f>IF(AND($F$8&lt;3,AR37&lt;&gt;""),HLOOKUP(MATCH(EQ37,EZ37:FA37,0),Discards,1,FALSE),"")</f>
      </c>
      <c r="AT37" s="107">
        <f t="shared" si="4"/>
        <v>0</v>
      </c>
      <c r="AU37" s="108">
        <f ca="1">IF(OR(AK37&lt;&gt;"",AM37&lt;&gt;""),RANK(AT37,AT$11:INDIRECT(AT$7,FALSE)),"")</f>
      </c>
      <c r="AV37" s="109"/>
      <c r="AW37" s="4"/>
      <c r="AX37" s="103">
        <f t="shared" si="95"/>
      </c>
      <c r="AY37" s="20"/>
      <c r="AZ37" s="104">
        <f t="shared" si="115"/>
      </c>
      <c r="BA37" s="104">
        <f t="shared" si="116"/>
        <v>0</v>
      </c>
      <c r="BB37" s="105">
        <f ca="1">IF(OR(AW37&lt;&gt;"",AY37&lt;&gt;""),RANK(BA37,BA$11:INDIRECT(BA$7,FALSE)),"")</f>
      </c>
      <c r="BC37" s="106"/>
      <c r="BD37" s="107">
        <f t="shared" si="6"/>
      </c>
      <c r="BE37" s="110">
        <f>IF(AND($F$8&lt;4,BD37&lt;&gt;""),HLOOKUP(MATCH(ER37,EZ37:FB37,0),Discards,1,FALSE),"")</f>
      </c>
      <c r="BF37" s="107">
        <f t="shared" si="117"/>
        <v>0</v>
      </c>
      <c r="BG37" s="108">
        <f ca="1">IF(OR(AW37&lt;&gt;"",AY37&lt;&gt;""),RANK(BF37,BF$11:INDIRECT(BF$7,FALSE)),"")</f>
      </c>
      <c r="BH37" s="109"/>
      <c r="BI37" s="4"/>
      <c r="BJ37" s="103">
        <f t="shared" si="96"/>
      </c>
      <c r="BK37" s="20"/>
      <c r="BL37" s="104">
        <f t="shared" si="118"/>
      </c>
      <c r="BM37" s="104">
        <f t="shared" si="119"/>
        <v>0</v>
      </c>
      <c r="BN37" s="105">
        <f ca="1">IF(OR(BI37&lt;&gt;"",BK37&lt;&gt;""),RANK(BM37,BM$11:INDIRECT(BM$7,FALSE)),"")</f>
      </c>
      <c r="BO37" s="106"/>
      <c r="BP37" s="107">
        <f t="shared" si="8"/>
      </c>
      <c r="BQ37" s="110">
        <f>IF(AND($F$8&lt;5,BP37&lt;&gt;""),HLOOKUP(MATCH(ES37,EZ37:FC37,0),Discards,1,FALSE),"")</f>
      </c>
      <c r="BR37" s="107">
        <f t="shared" si="120"/>
        <v>0</v>
      </c>
      <c r="BS37" s="108">
        <f ca="1">IF(OR(BI37&lt;&gt;"",BK37&lt;&gt;""),RANK(BR37,BR$11:INDIRECT(BR$7,FALSE)),"")</f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21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2"/>
      </c>
      <c r="FA37" s="28">
        <f t="shared" si="23"/>
      </c>
      <c r="FB37" s="28">
        <f t="shared" si="24"/>
      </c>
      <c r="FC37" s="28">
        <f t="shared" si="25"/>
      </c>
      <c r="FD37" s="28">
        <f t="shared" si="26"/>
      </c>
      <c r="FE37" s="28">
        <f t="shared" si="27"/>
      </c>
      <c r="FF37" s="28">
        <f t="shared" si="28"/>
      </c>
      <c r="FG37" s="28">
        <f t="shared" si="29"/>
      </c>
      <c r="FH37" s="28">
        <f t="shared" si="30"/>
      </c>
      <c r="FI37" s="28">
        <f t="shared" si="31"/>
      </c>
      <c r="FL37" s="26">
        <f t="shared" si="139"/>
        <v>255000000</v>
      </c>
      <c r="FM37" s="26">
        <f t="shared" si="140"/>
        <v>255000</v>
      </c>
      <c r="FN37" s="26">
        <f t="shared" si="141"/>
        <v>255</v>
      </c>
      <c r="FO37" s="26">
        <f>IF(C37&lt;&gt;"",SUM(FL37:FN37),0)</f>
        <v>0</v>
      </c>
      <c r="FP37" s="26">
        <f ca="1">IF(FO37&gt;0,SMALL($FO$11:INDIRECT($FO$7,FALSE),A37),0)</f>
        <v>0</v>
      </c>
      <c r="FQ37" s="26">
        <f t="shared" si="142"/>
        <v>0</v>
      </c>
      <c r="FR37" s="26">
        <f t="shared" si="143"/>
        <v>0</v>
      </c>
      <c r="FS37" s="26">
        <f t="shared" si="144"/>
        <v>0</v>
      </c>
      <c r="FT37" s="26">
        <f t="shared" si="145"/>
      </c>
      <c r="FU37" s="26">
        <f t="shared" si="146"/>
        <v>24</v>
      </c>
      <c r="FV37" s="28">
        <f t="shared" si="32"/>
      </c>
      <c r="FW37" s="26">
        <f t="shared" si="158"/>
      </c>
      <c r="FX37" s="28">
        <f t="shared" si="147"/>
      </c>
      <c r="FY37" s="26">
        <f ca="1">IF(FX37&lt;&gt;"",RANK(FX37,FX$11:INDIRECT(FX$7,FALSE)),"")</f>
      </c>
      <c r="FZ37" s="26">
        <f t="shared" si="148"/>
      </c>
      <c r="GA37" s="26">
        <f t="shared" si="81"/>
      </c>
      <c r="GC37" s="27">
        <f t="shared" si="33"/>
      </c>
      <c r="GD37" s="27">
        <f t="shared" si="34"/>
      </c>
      <c r="GE37" s="27">
        <f t="shared" si="82"/>
      </c>
      <c r="GF37" s="27">
        <f t="shared" si="149"/>
      </c>
      <c r="GG37" s="27">
        <f t="shared" si="150"/>
        <v>0</v>
      </c>
      <c r="GH37" s="26">
        <f t="shared" si="151"/>
        <v>0</v>
      </c>
      <c r="GI37" s="26">
        <f t="shared" si="152"/>
        <v>0</v>
      </c>
      <c r="GJ37" s="26">
        <f t="shared" si="153"/>
        <v>0</v>
      </c>
      <c r="GK37" s="26">
        <f t="shared" si="154"/>
      </c>
      <c r="GL37" s="28">
        <f t="shared" si="155"/>
      </c>
      <c r="GM37" s="26">
        <f t="shared" si="156"/>
      </c>
    </row>
    <row r="38" spans="1:195" ht="12.75">
      <c r="A38" s="132">
        <f t="shared" si="157"/>
        <v>28</v>
      </c>
      <c r="B38" s="133"/>
      <c r="C38" s="134"/>
      <c r="D38" s="135"/>
      <c r="E38" s="134"/>
      <c r="F38" s="134"/>
      <c r="G38" s="149"/>
      <c r="H38" s="136">
        <f t="shared" si="103"/>
      </c>
      <c r="I38" s="137">
        <f t="shared" si="104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07"/>
      </c>
      <c r="AB38" s="21"/>
      <c r="AC38" s="114">
        <f t="shared" si="108"/>
      </c>
      <c r="AD38" s="114">
        <f t="shared" si="109"/>
        <v>0</v>
      </c>
      <c r="AE38" s="115">
        <f ca="1">IF(OR(Z38&lt;&gt;"",AB38&lt;&gt;""),RANK(AD38,AD$11:INDIRECT(AD$7,FALSE)),"")</f>
      </c>
      <c r="AF38" s="116"/>
      <c r="AG38" s="117">
        <f t="shared" si="110"/>
      </c>
      <c r="AH38" s="117">
        <f t="shared" si="111"/>
        <v>0</v>
      </c>
      <c r="AI38" s="118">
        <f ca="1">IF(OR(Z38&lt;&gt;"",AB38&lt;&gt;""),RANK(AH38,AH$11:INDIRECT(AH$7,FALSE)),"")</f>
      </c>
      <c r="AJ38" s="119"/>
      <c r="AK38" s="5"/>
      <c r="AL38" s="113">
        <f t="shared" si="112"/>
      </c>
      <c r="AM38" s="21"/>
      <c r="AN38" s="114">
        <f t="shared" si="113"/>
      </c>
      <c r="AO38" s="114">
        <f t="shared" si="114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5"/>
      </c>
      <c r="AY38" s="21"/>
      <c r="AZ38" s="114">
        <f t="shared" si="115"/>
      </c>
      <c r="BA38" s="114">
        <f t="shared" si="116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7"/>
        <v>0</v>
      </c>
      <c r="BG38" s="118">
        <f ca="1">IF(OR(AW38&lt;&gt;"",AY38&lt;&gt;""),RANK(BF38,BF$11:INDIRECT(BF$7,FALSE)),"")</f>
      </c>
      <c r="BH38" s="119"/>
      <c r="BI38" s="5"/>
      <c r="BJ38" s="113">
        <f t="shared" si="96"/>
      </c>
      <c r="BK38" s="21"/>
      <c r="BL38" s="114">
        <f t="shared" si="118"/>
      </c>
      <c r="BM38" s="114">
        <f t="shared" si="119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20"/>
        <v>0</v>
      </c>
      <c r="BS38" s="118">
        <f ca="1">IF(OR(BI38&lt;&gt;"",BK38&lt;&gt;""),RANK(BR38,BR$11:INDIRECT(BR$7,FALSE)),"")</f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21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2"/>
      </c>
      <c r="FA38" s="28">
        <f t="shared" si="23"/>
      </c>
      <c r="FB38" s="28">
        <f t="shared" si="24"/>
      </c>
      <c r="FC38" s="28">
        <f t="shared" si="25"/>
      </c>
      <c r="FD38" s="28">
        <f t="shared" si="26"/>
      </c>
      <c r="FE38" s="28">
        <f t="shared" si="27"/>
      </c>
      <c r="FF38" s="28">
        <f t="shared" si="28"/>
      </c>
      <c r="FG38" s="28">
        <f t="shared" si="29"/>
      </c>
      <c r="FH38" s="28">
        <f t="shared" si="30"/>
      </c>
      <c r="FI38" s="28">
        <f t="shared" si="31"/>
      </c>
      <c r="FL38" s="26">
        <f t="shared" si="139"/>
        <v>255000000</v>
      </c>
      <c r="FM38" s="26">
        <f t="shared" si="140"/>
        <v>255000</v>
      </c>
      <c r="FN38" s="26">
        <f t="shared" si="141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42"/>
        <v>0</v>
      </c>
      <c r="FR38" s="26">
        <f t="shared" si="143"/>
        <v>0</v>
      </c>
      <c r="FS38" s="26">
        <f t="shared" si="144"/>
        <v>0</v>
      </c>
      <c r="FT38" s="26">
        <f t="shared" si="145"/>
      </c>
      <c r="FU38" s="26">
        <f t="shared" si="146"/>
        <v>24</v>
      </c>
      <c r="FV38" s="28">
        <f t="shared" si="32"/>
      </c>
      <c r="FW38" s="26">
        <f t="shared" si="158"/>
      </c>
      <c r="FX38" s="28">
        <f t="shared" si="147"/>
      </c>
      <c r="FY38" s="26">
        <f ca="1">IF(FX38&lt;&gt;"",RANK(FX38,FX$11:INDIRECT(FX$7,FALSE)),"")</f>
      </c>
      <c r="FZ38" s="26">
        <f t="shared" si="148"/>
      </c>
      <c r="GA38" s="26">
        <f t="shared" si="81"/>
      </c>
      <c r="GC38" s="27">
        <f t="shared" si="33"/>
      </c>
      <c r="GD38" s="27">
        <f t="shared" si="34"/>
      </c>
      <c r="GE38" s="27">
        <f t="shared" si="82"/>
      </c>
      <c r="GF38" s="27">
        <f t="shared" si="149"/>
      </c>
      <c r="GG38" s="27">
        <f t="shared" si="150"/>
        <v>0</v>
      </c>
      <c r="GH38" s="26">
        <f t="shared" si="151"/>
        <v>0</v>
      </c>
      <c r="GI38" s="26">
        <f t="shared" si="152"/>
        <v>0</v>
      </c>
      <c r="GJ38" s="26">
        <f t="shared" si="153"/>
        <v>0</v>
      </c>
      <c r="GK38" s="26">
        <f t="shared" si="154"/>
      </c>
      <c r="GL38" s="28">
        <f t="shared" si="155"/>
      </c>
      <c r="GM38" s="26">
        <f t="shared" si="156"/>
      </c>
    </row>
    <row r="39" spans="1:195" ht="12.75">
      <c r="A39" s="132">
        <f t="shared" si="157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04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07"/>
      </c>
      <c r="AB39" s="21"/>
      <c r="AC39" s="114">
        <f t="shared" si="108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10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21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2"/>
      </c>
      <c r="FA39" s="28">
        <f t="shared" si="23"/>
      </c>
      <c r="FB39" s="28">
        <f t="shared" si="24"/>
      </c>
      <c r="FC39" s="28">
        <f t="shared" si="25"/>
      </c>
      <c r="FD39" s="28">
        <f t="shared" si="26"/>
      </c>
      <c r="FE39" s="28">
        <f t="shared" si="27"/>
      </c>
      <c r="FF39" s="28">
        <f t="shared" si="28"/>
      </c>
      <c r="FG39" s="28">
        <f t="shared" si="29"/>
      </c>
      <c r="FH39" s="28">
        <f t="shared" si="30"/>
      </c>
      <c r="FI39" s="28">
        <f t="shared" si="31"/>
      </c>
      <c r="FL39" s="26">
        <f t="shared" si="139"/>
        <v>255000000</v>
      </c>
      <c r="FM39" s="26">
        <f t="shared" si="140"/>
        <v>255000</v>
      </c>
      <c r="FN39" s="26">
        <f t="shared" si="141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2"/>
        <v>0</v>
      </c>
      <c r="FR39" s="26">
        <f t="shared" si="143"/>
        <v>0</v>
      </c>
      <c r="FS39" s="26">
        <f t="shared" si="144"/>
        <v>0</v>
      </c>
      <c r="FT39" s="26">
        <f t="shared" si="145"/>
      </c>
      <c r="FU39" s="26">
        <f t="shared" si="146"/>
        <v>24</v>
      </c>
      <c r="FV39" s="28">
        <f t="shared" si="32"/>
      </c>
      <c r="FW39" s="26">
        <f t="shared" si="158"/>
      </c>
      <c r="FX39" s="28">
        <f t="shared" si="147"/>
      </c>
      <c r="FY39" s="26">
        <f ca="1">IF(FX39&lt;&gt;"",RANK(FX39,FX$11:INDIRECT(FX$7,FALSE)),"")</f>
      </c>
      <c r="FZ39" s="26">
        <f t="shared" si="148"/>
      </c>
      <c r="GA39" s="26">
        <f t="shared" si="81"/>
      </c>
      <c r="GC39" s="27">
        <f t="shared" si="33"/>
      </c>
      <c r="GD39" s="27">
        <f t="shared" si="34"/>
      </c>
      <c r="GE39" s="27">
        <f t="shared" si="82"/>
      </c>
      <c r="GF39" s="27">
        <f t="shared" si="149"/>
      </c>
      <c r="GG39" s="27">
        <f t="shared" si="150"/>
        <v>0</v>
      </c>
      <c r="GH39" s="26">
        <f t="shared" si="151"/>
        <v>0</v>
      </c>
      <c r="GI39" s="26">
        <f t="shared" si="152"/>
        <v>0</v>
      </c>
      <c r="GJ39" s="26">
        <f t="shared" si="153"/>
        <v>0</v>
      </c>
      <c r="GK39" s="26">
        <f t="shared" si="154"/>
      </c>
      <c r="GL39" s="28">
        <f t="shared" si="155"/>
      </c>
      <c r="GM39" s="26">
        <f t="shared" si="156"/>
      </c>
    </row>
    <row r="40" spans="1:195" ht="12.75">
      <c r="A40" s="132">
        <f t="shared" si="157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04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7"/>
      </c>
      <c r="AB40" s="21"/>
      <c r="AC40" s="114">
        <f t="shared" si="108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10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21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2"/>
      </c>
      <c r="FA40" s="28">
        <f t="shared" si="23"/>
      </c>
      <c r="FB40" s="28">
        <f t="shared" si="24"/>
      </c>
      <c r="FC40" s="28">
        <f t="shared" si="25"/>
      </c>
      <c r="FD40" s="28">
        <f t="shared" si="26"/>
      </c>
      <c r="FE40" s="28">
        <f t="shared" si="27"/>
      </c>
      <c r="FF40" s="28">
        <f t="shared" si="28"/>
      </c>
      <c r="FG40" s="28">
        <f t="shared" si="29"/>
      </c>
      <c r="FH40" s="28">
        <f t="shared" si="30"/>
      </c>
      <c r="FI40" s="28">
        <f t="shared" si="31"/>
      </c>
      <c r="FL40" s="26">
        <f t="shared" si="139"/>
        <v>255000000</v>
      </c>
      <c r="FM40" s="26">
        <f t="shared" si="140"/>
        <v>255000</v>
      </c>
      <c r="FN40" s="26">
        <f t="shared" si="141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2"/>
        <v>0</v>
      </c>
      <c r="FR40" s="26">
        <f t="shared" si="143"/>
        <v>0</v>
      </c>
      <c r="FS40" s="26">
        <f t="shared" si="144"/>
        <v>0</v>
      </c>
      <c r="FT40" s="26">
        <f t="shared" si="145"/>
      </c>
      <c r="FU40" s="26">
        <f t="shared" si="146"/>
        <v>24</v>
      </c>
      <c r="FV40" s="28">
        <f t="shared" si="32"/>
      </c>
      <c r="FW40" s="26">
        <f t="shared" si="158"/>
      </c>
      <c r="FX40" s="28">
        <f t="shared" si="147"/>
      </c>
      <c r="FY40" s="26">
        <f ca="1">IF(FX40&lt;&gt;"",RANK(FX40,FX$11:INDIRECT(FX$7,FALSE)),"")</f>
      </c>
      <c r="FZ40" s="26">
        <f t="shared" si="148"/>
      </c>
      <c r="GA40" s="26">
        <f t="shared" si="81"/>
      </c>
      <c r="GC40" s="27">
        <f t="shared" si="33"/>
      </c>
      <c r="GD40" s="27">
        <f t="shared" si="34"/>
      </c>
      <c r="GE40" s="27">
        <f t="shared" si="82"/>
      </c>
      <c r="GF40" s="27">
        <f t="shared" si="149"/>
      </c>
      <c r="GG40" s="27">
        <f t="shared" si="150"/>
        <v>0</v>
      </c>
      <c r="GH40" s="26">
        <f t="shared" si="151"/>
        <v>0</v>
      </c>
      <c r="GI40" s="26">
        <f t="shared" si="152"/>
        <v>0</v>
      </c>
      <c r="GJ40" s="26">
        <f t="shared" si="153"/>
        <v>0</v>
      </c>
      <c r="GK40" s="26">
        <f t="shared" si="154"/>
      </c>
      <c r="GL40" s="28">
        <f t="shared" si="155"/>
      </c>
      <c r="GM40" s="26">
        <f t="shared" si="156"/>
      </c>
    </row>
    <row r="41" spans="1:195" ht="12.75">
      <c r="A41" s="16">
        <f t="shared" si="157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04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7"/>
      </c>
      <c r="AB41" s="20"/>
      <c r="AC41" s="104">
        <f t="shared" si="108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10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21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2"/>
      </c>
      <c r="FA41" s="28">
        <f t="shared" si="23"/>
      </c>
      <c r="FB41" s="28">
        <f t="shared" si="24"/>
      </c>
      <c r="FC41" s="28">
        <f t="shared" si="25"/>
      </c>
      <c r="FD41" s="28">
        <f t="shared" si="26"/>
      </c>
      <c r="FE41" s="28">
        <f t="shared" si="27"/>
      </c>
      <c r="FF41" s="28">
        <f t="shared" si="28"/>
      </c>
      <c r="FG41" s="28">
        <f t="shared" si="29"/>
      </c>
      <c r="FH41" s="28">
        <f t="shared" si="30"/>
      </c>
      <c r="FI41" s="28">
        <f t="shared" si="31"/>
      </c>
      <c r="FL41" s="26">
        <f t="shared" si="139"/>
        <v>255000000</v>
      </c>
      <c r="FM41" s="26">
        <f t="shared" si="140"/>
        <v>255000</v>
      </c>
      <c r="FN41" s="26">
        <f t="shared" si="141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2"/>
        <v>0</v>
      </c>
      <c r="FR41" s="26">
        <f t="shared" si="143"/>
        <v>0</v>
      </c>
      <c r="FS41" s="26">
        <f t="shared" si="144"/>
        <v>0</v>
      </c>
      <c r="FT41" s="26">
        <f t="shared" si="145"/>
      </c>
      <c r="FU41" s="26">
        <f t="shared" si="146"/>
        <v>24</v>
      </c>
      <c r="FV41" s="28">
        <f t="shared" si="32"/>
      </c>
      <c r="FW41" s="26">
        <f t="shared" si="158"/>
      </c>
      <c r="FX41" s="28">
        <f t="shared" si="147"/>
      </c>
      <c r="FY41" s="26">
        <f ca="1">IF(FX41&lt;&gt;"",RANK(FX41,FX$11:INDIRECT(FX$7,FALSE)),"")</f>
      </c>
      <c r="FZ41" s="26">
        <f t="shared" si="148"/>
      </c>
      <c r="GA41" s="26">
        <f t="shared" si="81"/>
      </c>
      <c r="GC41" s="27">
        <f t="shared" si="33"/>
      </c>
      <c r="GD41" s="27">
        <f t="shared" si="34"/>
      </c>
      <c r="GE41" s="27">
        <f t="shared" si="82"/>
      </c>
      <c r="GF41" s="27">
        <f t="shared" si="149"/>
      </c>
      <c r="GG41" s="27">
        <f t="shared" si="150"/>
        <v>0</v>
      </c>
      <c r="GH41" s="26">
        <f t="shared" si="151"/>
        <v>0</v>
      </c>
      <c r="GI41" s="26">
        <f t="shared" si="152"/>
        <v>0</v>
      </c>
      <c r="GJ41" s="26">
        <f t="shared" si="153"/>
        <v>0</v>
      </c>
      <c r="GK41" s="26">
        <f t="shared" si="154"/>
      </c>
      <c r="GL41" s="28">
        <f t="shared" si="155"/>
      </c>
      <c r="GM41" s="26">
        <f t="shared" si="156"/>
      </c>
    </row>
    <row r="42" spans="1:195" ht="12.75">
      <c r="A42" s="16">
        <f t="shared" si="157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04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7"/>
      </c>
      <c r="AB42" s="20"/>
      <c r="AC42" s="104">
        <f t="shared" si="108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10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21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2"/>
      </c>
      <c r="FA42" s="28">
        <f t="shared" si="23"/>
      </c>
      <c r="FB42" s="28">
        <f t="shared" si="24"/>
      </c>
      <c r="FC42" s="28">
        <f t="shared" si="25"/>
      </c>
      <c r="FD42" s="28">
        <f t="shared" si="26"/>
      </c>
      <c r="FE42" s="28">
        <f t="shared" si="27"/>
      </c>
      <c r="FF42" s="28">
        <f t="shared" si="28"/>
      </c>
      <c r="FG42" s="28">
        <f t="shared" si="29"/>
      </c>
      <c r="FH42" s="28">
        <f t="shared" si="30"/>
      </c>
      <c r="FI42" s="28">
        <f t="shared" si="31"/>
      </c>
      <c r="FL42" s="26">
        <f t="shared" si="139"/>
        <v>255000000</v>
      </c>
      <c r="FM42" s="26">
        <f t="shared" si="140"/>
        <v>255000</v>
      </c>
      <c r="FN42" s="26">
        <f t="shared" si="141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2"/>
        <v>0</v>
      </c>
      <c r="FR42" s="26">
        <f t="shared" si="143"/>
        <v>0</v>
      </c>
      <c r="FS42" s="26">
        <f t="shared" si="144"/>
        <v>0</v>
      </c>
      <c r="FT42" s="26">
        <f t="shared" si="145"/>
      </c>
      <c r="FU42" s="26">
        <f t="shared" si="146"/>
        <v>24</v>
      </c>
      <c r="FV42" s="28">
        <f t="shared" si="32"/>
      </c>
      <c r="FW42" s="26">
        <f t="shared" si="158"/>
      </c>
      <c r="FX42" s="28">
        <f t="shared" si="147"/>
      </c>
      <c r="FY42" s="26">
        <f ca="1">IF(FX42&lt;&gt;"",RANK(FX42,FX$11:INDIRECT(FX$7,FALSE)),"")</f>
      </c>
      <c r="FZ42" s="26">
        <f t="shared" si="148"/>
      </c>
      <c r="GA42" s="26">
        <f t="shared" si="81"/>
      </c>
      <c r="GC42" s="27">
        <f t="shared" si="33"/>
      </c>
      <c r="GD42" s="27">
        <f t="shared" si="34"/>
      </c>
      <c r="GE42" s="27">
        <f t="shared" si="82"/>
      </c>
      <c r="GF42" s="27">
        <f t="shared" si="149"/>
      </c>
      <c r="GG42" s="27">
        <f t="shared" si="150"/>
        <v>0</v>
      </c>
      <c r="GH42" s="26">
        <f t="shared" si="151"/>
        <v>0</v>
      </c>
      <c r="GI42" s="26">
        <f t="shared" si="152"/>
        <v>0</v>
      </c>
      <c r="GJ42" s="26">
        <f t="shared" si="153"/>
        <v>0</v>
      </c>
      <c r="GK42" s="26">
        <f t="shared" si="154"/>
      </c>
      <c r="GL42" s="28">
        <f t="shared" si="155"/>
      </c>
      <c r="GM42" s="26">
        <f t="shared" si="156"/>
      </c>
    </row>
    <row r="43" spans="1:195" ht="12.75">
      <c r="A43" s="16">
        <f t="shared" si="157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04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5"/>
      </c>
      <c r="M43" s="102">
        <f t="shared" si="106"/>
        <v>0</v>
      </c>
      <c r="N43" s="51">
        <f aca="true" t="shared" si="159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7"/>
      </c>
      <c r="AB43" s="20"/>
      <c r="AC43" s="104">
        <f t="shared" si="108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10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0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1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2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3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4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65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6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7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8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69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0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1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2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3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4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5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6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7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21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8" ref="EZ43:EZ62">AC43</f>
      </c>
      <c r="FA43" s="28">
        <f aca="true" t="shared" si="179" ref="FA43:FA62">AN43</f>
      </c>
      <c r="FB43" s="28">
        <f aca="true" t="shared" si="180" ref="FB43:FB62">AZ43</f>
      </c>
      <c r="FC43" s="28">
        <f aca="true" t="shared" si="181" ref="FC43:FC62">BL43</f>
      </c>
      <c r="FD43" s="28">
        <f aca="true" t="shared" si="182" ref="FD43:FD62">BX43</f>
      </c>
      <c r="FE43" s="28">
        <f aca="true" t="shared" si="183" ref="FE43:FE62">CJ43</f>
      </c>
      <c r="FF43" s="28">
        <f aca="true" t="shared" si="184" ref="FF43:FF62">CV43</f>
      </c>
      <c r="FG43" s="28">
        <f aca="true" t="shared" si="185" ref="FG43:FG62">DH43</f>
      </c>
      <c r="FH43" s="28">
        <f aca="true" t="shared" si="186" ref="FH43:FH62">DT43</f>
      </c>
      <c r="FI43" s="28">
        <f aca="true" t="shared" si="187" ref="FI43:FI62">EF43</f>
      </c>
      <c r="FL43" s="26">
        <f t="shared" si="139"/>
        <v>255000000</v>
      </c>
      <c r="FM43" s="26">
        <f t="shared" si="140"/>
        <v>255000</v>
      </c>
      <c r="FN43" s="26">
        <f t="shared" si="141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2"/>
        <v>0</v>
      </c>
      <c r="FR43" s="26">
        <f t="shared" si="143"/>
        <v>0</v>
      </c>
      <c r="FS43" s="26">
        <f t="shared" si="144"/>
        <v>0</v>
      </c>
      <c r="FT43" s="26">
        <f t="shared" si="145"/>
      </c>
      <c r="FU43" s="26">
        <f t="shared" si="146"/>
        <v>24</v>
      </c>
      <c r="FV43" s="28">
        <f t="shared" si="32"/>
      </c>
      <c r="FW43" s="26">
        <f t="shared" si="158"/>
      </c>
      <c r="FX43" s="28">
        <f t="shared" si="147"/>
      </c>
      <c r="FY43" s="26">
        <f ca="1">IF(FX43&lt;&gt;"",RANK(FX43,FX$11:INDIRECT(FX$7,FALSE)),"")</f>
      </c>
      <c r="FZ43" s="26">
        <f t="shared" si="148"/>
      </c>
      <c r="GA43" s="26">
        <f t="shared" si="81"/>
      </c>
      <c r="GC43" s="27">
        <f aca="true" t="shared" si="188" ref="GC43:GC62">IF(AND(L43&lt;&gt;"",H43&lt;&gt;""),(L43+1000)*10000000000+FO43,"")</f>
      </c>
      <c r="GD43" s="27">
        <f aca="true" t="shared" si="189" ref="GD43:GD62">IF(AND(A43&lt;=$GC$8,GC43&lt;&gt;""),LARGE($GC$11:$GC$62,A43),"")</f>
      </c>
      <c r="GE43" s="27">
        <f t="shared" si="82"/>
      </c>
      <c r="GF43" s="27">
        <f t="shared" si="149"/>
      </c>
      <c r="GG43" s="27">
        <f t="shared" si="150"/>
        <v>0</v>
      </c>
      <c r="GH43" s="26">
        <f t="shared" si="151"/>
        <v>0</v>
      </c>
      <c r="GI43" s="26">
        <f t="shared" si="152"/>
        <v>0</v>
      </c>
      <c r="GJ43" s="26">
        <f t="shared" si="153"/>
        <v>0</v>
      </c>
      <c r="GK43" s="26">
        <f t="shared" si="154"/>
      </c>
      <c r="GL43" s="28">
        <f t="shared" si="155"/>
      </c>
      <c r="GM43" s="26">
        <f t="shared" si="156"/>
      </c>
    </row>
    <row r="44" spans="1:195" ht="12.75">
      <c r="A44" s="132">
        <f t="shared" si="157"/>
        <v>34</v>
      </c>
      <c r="B44" s="133"/>
      <c r="C44" s="134"/>
      <c r="D44" s="135"/>
      <c r="E44" s="134"/>
      <c r="F44" s="134"/>
      <c r="G44" s="149"/>
      <c r="H44" s="136">
        <f aca="true" t="shared" si="190" ref="H44:H59">IF(G44&lt;&gt;"",LEFT(UPPER(G44),1)&amp;IF(LEN(G44)&gt;1,MID(UPPER(G44),2,1)," ")&amp;IF(LEN(G44)&gt;2,MID(UPPER(G44),3,1)," "),"")</f>
      </c>
      <c r="I44" s="137">
        <f aca="true" t="shared" si="191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2" ref="L44:L59">IF(AND(H44&lt;&gt;"",OR(M44&lt;&gt;0,Z44&lt;&gt;"")),M44,"")</f>
      </c>
      <c r="M44" s="137">
        <f aca="true" t="shared" si="193" ref="M44:M59">IF(G44&lt;&gt;"",SUMIF($H$11:$H$62,H44,$J$11:$J$62),0)</f>
        <v>0</v>
      </c>
      <c r="N44" s="138">
        <f t="shared" si="159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4" ref="AA44:AA59">IF(Z44,Z44,"")</f>
      </c>
      <c r="AB44" s="21"/>
      <c r="AC44" s="114">
        <f aca="true" t="shared" si="195" ref="AC44:AC59">IF(Z44&gt;0,ROUND((1000*AB$5)/Z44,1),IF(Z44="","",0))</f>
      </c>
      <c r="AD44" s="114">
        <f aca="true" t="shared" si="196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7" ref="AG44:AG59">IF(OR(Z44&lt;&gt;"",AB44&lt;&gt;""),AD44,"")</f>
      </c>
      <c r="AH44" s="117">
        <f aca="true" t="shared" si="198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199" ref="AL44:AL59">IF(AK44,AK44,"")</f>
      </c>
      <c r="AM44" s="21"/>
      <c r="AN44" s="114">
        <f aca="true" t="shared" si="200" ref="AN44:AN59">IF(AK44&gt;0,ROUND((1000*AM$5)/AK44,1),IF(AK44="","",0))</f>
      </c>
      <c r="AO44" s="114">
        <f aca="true" t="shared" si="201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0"/>
      </c>
      <c r="AS44" s="120">
        <f>IF(AND($F$8&lt;3,AR44&lt;&gt;""),HLOOKUP(MATCH(EQ44,EZ44:FA44,0),Discards,1,FALSE),"")</f>
      </c>
      <c r="AT44" s="117">
        <f t="shared" si="161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2"/>
      </c>
      <c r="AY44" s="21"/>
      <c r="AZ44" s="114">
        <f aca="true" t="shared" si="202" ref="AZ44:AZ59">IF(AW44&gt;0,ROUND((1000*AY$5)/AW44,1),IF(AW44="","",0))</f>
      </c>
      <c r="BA44" s="114">
        <f aca="true" t="shared" si="203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3"/>
      </c>
      <c r="BE44" s="120">
        <f>IF(AND($F$8&lt;4,BD44&lt;&gt;""),HLOOKUP(MATCH(ER44,EZ44:FB44,0),Discards,1,FALSE),"")</f>
      </c>
      <c r="BF44" s="117">
        <f aca="true" t="shared" si="204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4"/>
      </c>
      <c r="BK44" s="21"/>
      <c r="BL44" s="114">
        <f aca="true" t="shared" si="205" ref="BL44:BL59">IF(BI44&gt;0,ROUND((1000*BK$5)/BI44,1),IF(BI44="","",0))</f>
      </c>
      <c r="BM44" s="114">
        <f aca="true" t="shared" si="206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5"/>
      </c>
      <c r="BQ44" s="120">
        <f>IF(AND($F$8&lt;5,BP44&lt;&gt;""),HLOOKUP(MATCH(ES44,EZ44:FC44,0),Discards,1,FALSE),"")</f>
      </c>
      <c r="BR44" s="117">
        <f aca="true" t="shared" si="207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6"/>
      </c>
      <c r="BW44" s="21"/>
      <c r="BX44" s="114">
        <f aca="true" t="shared" si="208" ref="BX44:BX59">IF(BU44&gt;0,ROUND((1000*BW$5)/BU44,1),IF(BU44="","",0))</f>
      </c>
      <c r="BY44" s="114">
        <f aca="true" t="shared" si="209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7"/>
      </c>
      <c r="CC44" s="120">
        <f>IF(AND($F$8&lt;6,CB44&lt;&gt;""),HLOOKUP(MATCH(ET44,EZ44:FD44,0),Discards,1,FALSE),"")</f>
      </c>
      <c r="CD44" s="117">
        <f aca="true" t="shared" si="210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8"/>
      </c>
      <c r="CI44" s="21"/>
      <c r="CJ44" s="114">
        <f aca="true" t="shared" si="211" ref="CJ44:CJ59">IF(CG44&gt;0,ROUND((1000*CI$5)/CG44,1),IF(CG44="","",0))</f>
      </c>
      <c r="CK44" s="114">
        <f aca="true" t="shared" si="212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69"/>
      </c>
      <c r="CO44" s="120">
        <f>IF(AND($F$8&lt;7,CN44&lt;&gt;""),HLOOKUP(MATCH(EU44,EZ44:FE44,0),Discards,1,FALSE),"")</f>
      </c>
      <c r="CP44" s="117">
        <f aca="true" t="shared" si="213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0"/>
      </c>
      <c r="CU44" s="21"/>
      <c r="CV44" s="114">
        <f aca="true" t="shared" si="214" ref="CV44:CV59">IF(CS44&gt;0,ROUND((1000*CU$5)/CS44,1),IF(CS44="","",0))</f>
      </c>
      <c r="CW44" s="114">
        <f aca="true" t="shared" si="215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1"/>
      </c>
      <c r="DA44" s="120">
        <f>IF(AND($F$8&lt;8,CZ44&lt;&gt;""),HLOOKUP(MATCH(EV44,EZ44:FF44,0),Discards,1,FALSE),"")</f>
      </c>
      <c r="DB44" s="117">
        <f aca="true" t="shared" si="216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2"/>
      </c>
      <c r="DG44" s="21"/>
      <c r="DH44" s="114">
        <f aca="true" t="shared" si="217" ref="DH44:DH59">IF(DE44&gt;0,ROUND((1000*DG$5)/DE44,1),IF(DE44="","",0))</f>
      </c>
      <c r="DI44" s="114">
        <f aca="true" t="shared" si="218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3"/>
      </c>
      <c r="DM44" s="120">
        <f>IF(AND($F$8&lt;9,DL44&lt;&gt;""),HLOOKUP(MATCH(EW44,EZ44:FG44,0),Discards,1,FALSE),"")</f>
      </c>
      <c r="DN44" s="117">
        <f aca="true" t="shared" si="219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4"/>
      </c>
      <c r="DS44" s="21"/>
      <c r="DT44" s="114">
        <f aca="true" t="shared" si="220" ref="DT44:DT59">IF(DQ44&gt;0,ROUND((1000*DS$5)/DQ44,1),IF(DQ44="","",0))</f>
      </c>
      <c r="DU44" s="114">
        <f aca="true" t="shared" si="221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5"/>
      </c>
      <c r="DY44" s="120">
        <f>IF(AND($F$8&lt;10,DX44&lt;&gt;""),HLOOKUP(MATCH(EX44,EZ44:FH44,0),Discards,1,FALSE),"")</f>
      </c>
      <c r="DZ44" s="117">
        <f aca="true" t="shared" si="222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6"/>
      </c>
      <c r="EE44" s="21"/>
      <c r="EF44" s="114">
        <f aca="true" t="shared" si="223" ref="EF44:EF59">IF(EC44&gt;0,ROUND((1000*EE$5)/EC44,1),IF(EC44="","",0))</f>
      </c>
      <c r="EG44" s="114">
        <f aca="true" t="shared" si="224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7"/>
      </c>
      <c r="EK44" s="120">
        <f>IF(AND($F$8&lt;11,EJ44&lt;&gt;""),HLOOKUP(MATCH(EY44,EZ44:FI44,0),Discards,1,FALSE),"")</f>
      </c>
      <c r="EL44" s="117">
        <f aca="true" t="shared" si="225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t="shared" si="21"/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8"/>
      </c>
      <c r="FA44" s="28">
        <f t="shared" si="179"/>
      </c>
      <c r="FB44" s="28">
        <f t="shared" si="180"/>
      </c>
      <c r="FC44" s="28">
        <f t="shared" si="181"/>
      </c>
      <c r="FD44" s="28">
        <f t="shared" si="182"/>
      </c>
      <c r="FE44" s="28">
        <f t="shared" si="183"/>
      </c>
      <c r="FF44" s="28">
        <f t="shared" si="184"/>
      </c>
      <c r="FG44" s="28">
        <f t="shared" si="185"/>
      </c>
      <c r="FH44" s="28">
        <f t="shared" si="186"/>
      </c>
      <c r="FI44" s="28">
        <f t="shared" si="187"/>
      </c>
      <c r="FL44" s="26">
        <f aca="true" t="shared" si="226" ref="FL44:FL59">IF(H44&lt;&gt;"",(CODE(MID(H44,1,1))*1000)*1000,255000000)</f>
        <v>255000000</v>
      </c>
      <c r="FM44" s="26">
        <f aca="true" t="shared" si="227" ref="FM44:FM59">IF(H44&lt;&gt;"",CODE(MID(H44,2,1))*1000,255000)</f>
        <v>255000</v>
      </c>
      <c r="FN44" s="26">
        <f aca="true" t="shared" si="228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29" ref="FQ44:FQ59">INT(FP44/1000000)</f>
        <v>0</v>
      </c>
      <c r="FR44" s="26">
        <f aca="true" t="shared" si="230" ref="FR44:FR59">INT(FP44/1000)-FQ44*1000</f>
        <v>0</v>
      </c>
      <c r="FS44" s="26">
        <f aca="true" t="shared" si="231" ref="FS44:FS59">FP44-FQ44*1000000-FR44*1000</f>
        <v>0</v>
      </c>
      <c r="FT44" s="26">
        <f aca="true" t="shared" si="232" ref="FT44:FT59">IF(FP44=255255255,"",IF(FP44&gt;0,CHAR(FQ44)&amp;CHAR(FR44)&amp;CHAR(FS44),""))</f>
      </c>
      <c r="FU44" s="26">
        <f aca="true" t="shared" si="233" ref="FU44:FU59">COUNTIF($FT$11:$FT$34,FT44)</f>
        <v>24</v>
      </c>
      <c r="FV44" s="28">
        <f t="shared" si="32"/>
      </c>
      <c r="FW44" s="26">
        <f t="shared" si="158"/>
      </c>
      <c r="FX44" s="28">
        <f aca="true" t="shared" si="234" ref="FX44:FX59">IF(FW44&lt;&gt;"",FV44,"")</f>
      </c>
      <c r="FY44" s="26">
        <f ca="1">IF(FX44&lt;&gt;"",RANK(FX44,FX$11:INDIRECT(FX$7,FALSE)),"")</f>
      </c>
      <c r="FZ44" s="26">
        <f aca="true" t="shared" si="235" ref="FZ44:FZ59">IF(H44&lt;&gt;"",MATCH(H44,$FW$11:$FW$62,0),"")</f>
      </c>
      <c r="GA44" s="26">
        <f t="shared" si="81"/>
      </c>
      <c r="GC44" s="27">
        <f t="shared" si="188"/>
      </c>
      <c r="GD44" s="27">
        <f t="shared" si="189"/>
      </c>
      <c r="GE44" s="27">
        <f aca="true" t="shared" si="236" ref="GE44:GE62">IF(AND(GD44&lt;&gt;"",RIGHT(GD44,9)&lt;&gt;RIGHT(GD43,9)),GD44,"")</f>
      </c>
      <c r="GF44" s="27">
        <f aca="true" t="shared" si="237" ref="GF44:GF59">IF(A44&lt;=$GF$8,LARGE($GE$11:$GE$62,A44),"")</f>
      </c>
      <c r="GG44" s="27">
        <f aca="true" t="shared" si="238" ref="GG44:GG59">IF(GF44&lt;&gt;"",VALUE(RIGHT(GF44,9)),0)</f>
        <v>0</v>
      </c>
      <c r="GH44" s="26">
        <f aca="true" t="shared" si="239" ref="GH44:GH59">INT(GG44/1000000)</f>
        <v>0</v>
      </c>
      <c r="GI44" s="26">
        <f aca="true" t="shared" si="240" ref="GI44:GI59">INT(GG44/1000)-GH44*1000</f>
        <v>0</v>
      </c>
      <c r="GJ44" s="26">
        <f aca="true" t="shared" si="241" ref="GJ44:GJ59">GG44-GH44*1000000-GI44*1000</f>
        <v>0</v>
      </c>
      <c r="GK44" s="26">
        <f aca="true" t="shared" si="242" ref="GK44:GK59">IF(GG44=255255255,"",IF(GG44&gt;0,CHAR(GH44)&amp;CHAR(GI44)&amp;CHAR(GJ44),""))</f>
      </c>
      <c r="GL44" s="28">
        <f aca="true" t="shared" si="243" ref="GL44:GL59">IF(GK44&lt;&gt;"",(GF44-GG44)/10000000000-1000,"")</f>
      </c>
      <c r="GM44" s="26">
        <f aca="true" t="shared" si="244" ref="GM44:GM59">IF(GL44&lt;&gt;"",RANK(GL44,$GL$11:$GL$62),"")</f>
      </c>
    </row>
    <row r="45" spans="1:195" ht="12.75">
      <c r="A45" s="132">
        <f aca="true" t="shared" si="245" ref="A45:A60">A44+1</f>
        <v>35</v>
      </c>
      <c r="B45" s="133"/>
      <c r="C45" s="134"/>
      <c r="D45" s="135"/>
      <c r="E45" s="134"/>
      <c r="F45" s="134"/>
      <c r="G45" s="149"/>
      <c r="H45" s="136">
        <f t="shared" si="190"/>
      </c>
      <c r="I45" s="137">
        <f t="shared" si="191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2"/>
      </c>
      <c r="M45" s="137">
        <f t="shared" si="193"/>
        <v>0</v>
      </c>
      <c r="N45" s="138">
        <f t="shared" si="159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4"/>
      </c>
      <c r="AB45" s="21"/>
      <c r="AC45" s="114">
        <f t="shared" si="195"/>
      </c>
      <c r="AD45" s="114">
        <f t="shared" si="196"/>
        <v>0</v>
      </c>
      <c r="AE45" s="115">
        <f ca="1">IF(OR(Z45&lt;&gt;"",AB45&lt;&gt;""),RANK(AD45,AD$11:INDIRECT(AD$7,FALSE)),"")</f>
      </c>
      <c r="AF45" s="116"/>
      <c r="AG45" s="117">
        <f t="shared" si="197"/>
      </c>
      <c r="AH45" s="117">
        <f t="shared" si="198"/>
        <v>0</v>
      </c>
      <c r="AI45" s="118">
        <f ca="1">IF(OR(Z45&lt;&gt;"",AB45&lt;&gt;""),RANK(AH45,AH$11:INDIRECT(AH$7,FALSE)),"")</f>
      </c>
      <c r="AJ45" s="119"/>
      <c r="AK45" s="5"/>
      <c r="AL45" s="113">
        <f t="shared" si="199"/>
      </c>
      <c r="AM45" s="21"/>
      <c r="AN45" s="114">
        <f t="shared" si="200"/>
      </c>
      <c r="AO45" s="114">
        <f t="shared" si="201"/>
        <v>0</v>
      </c>
      <c r="AP45" s="115">
        <f ca="1">IF(OR(AK45&lt;&gt;"",AM45&lt;&gt;""),RANK(AO45,AO$11:INDIRECT(AO$7,FALSE)),"")</f>
      </c>
      <c r="AQ45" s="116"/>
      <c r="AR45" s="117">
        <f t="shared" si="160"/>
      </c>
      <c r="AS45" s="120">
        <f>IF(AND($F$8&lt;3,AR45&lt;&gt;""),HLOOKUP(MATCH(EQ45,EZ45:FA45,0),Discards,1,FALSE),"")</f>
      </c>
      <c r="AT45" s="117">
        <f t="shared" si="161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2"/>
      </c>
      <c r="AY45" s="21"/>
      <c r="AZ45" s="114">
        <f t="shared" si="202"/>
      </c>
      <c r="BA45" s="114">
        <f t="shared" si="203"/>
        <v>0</v>
      </c>
      <c r="BB45" s="115">
        <f ca="1">IF(OR(AW45&lt;&gt;"",AY45&lt;&gt;""),RANK(BA45,BA$11:INDIRECT(BA$7,FALSE)),"")</f>
      </c>
      <c r="BC45" s="116"/>
      <c r="BD45" s="117">
        <f t="shared" si="163"/>
      </c>
      <c r="BE45" s="120">
        <f>IF(AND($F$8&lt;4,BD45&lt;&gt;""),HLOOKUP(MATCH(ER45,EZ45:FB45,0),Discards,1,FALSE),"")</f>
      </c>
      <c r="BF45" s="117">
        <f t="shared" si="204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4"/>
      </c>
      <c r="BK45" s="21"/>
      <c r="BL45" s="114">
        <f t="shared" si="205"/>
      </c>
      <c r="BM45" s="114">
        <f t="shared" si="206"/>
        <v>0</v>
      </c>
      <c r="BN45" s="115">
        <f ca="1">IF(OR(BI45&lt;&gt;"",BK45&lt;&gt;""),RANK(BM45,BM$11:INDIRECT(BM$7,FALSE)),"")</f>
      </c>
      <c r="BO45" s="116"/>
      <c r="BP45" s="117">
        <f t="shared" si="165"/>
      </c>
      <c r="BQ45" s="120">
        <f>IF(AND($F$8&lt;5,BP45&lt;&gt;""),HLOOKUP(MATCH(ES45,EZ45:FC45,0),Discards,1,FALSE),"")</f>
      </c>
      <c r="BR45" s="117">
        <f t="shared" si="207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6"/>
      </c>
      <c r="BW45" s="21"/>
      <c r="BX45" s="114">
        <f t="shared" si="208"/>
      </c>
      <c r="BY45" s="114">
        <f t="shared" si="209"/>
        <v>0</v>
      </c>
      <c r="BZ45" s="115">
        <f ca="1">IF(OR(BU45&lt;&gt;"",BW45&lt;&gt;""),RANK(BY45,BY$11:INDIRECT(BY$7,FALSE)),"")</f>
      </c>
      <c r="CA45" s="116"/>
      <c r="CB45" s="117">
        <f t="shared" si="167"/>
      </c>
      <c r="CC45" s="120">
        <f>IF(AND($F$8&lt;6,CB45&lt;&gt;""),HLOOKUP(MATCH(ET45,EZ45:FD45,0),Discards,1,FALSE),"")</f>
      </c>
      <c r="CD45" s="117">
        <f t="shared" si="210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8"/>
      </c>
      <c r="CI45" s="21"/>
      <c r="CJ45" s="114">
        <f t="shared" si="211"/>
      </c>
      <c r="CK45" s="114">
        <f t="shared" si="212"/>
        <v>0</v>
      </c>
      <c r="CL45" s="115">
        <f ca="1">IF(OR(CG45&lt;&gt;"",CI45&lt;&gt;""),RANK(CK45,CK$11:INDIRECT(CK$7,FALSE)),"")</f>
      </c>
      <c r="CM45" s="116"/>
      <c r="CN45" s="117">
        <f t="shared" si="169"/>
      </c>
      <c r="CO45" s="120">
        <f>IF(AND($F$8&lt;7,CN45&lt;&gt;""),HLOOKUP(MATCH(EU45,EZ45:FE45,0),Discards,1,FALSE),"")</f>
      </c>
      <c r="CP45" s="117">
        <f t="shared" si="213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0"/>
      </c>
      <c r="CU45" s="21"/>
      <c r="CV45" s="114">
        <f t="shared" si="214"/>
      </c>
      <c r="CW45" s="114">
        <f t="shared" si="215"/>
        <v>0</v>
      </c>
      <c r="CX45" s="115">
        <f ca="1">IF(OR(CS45&lt;&gt;"",CU45&lt;&gt;""),RANK(CW45,CW$11:INDIRECT(CW$7,FALSE)),"")</f>
      </c>
      <c r="CY45" s="116"/>
      <c r="CZ45" s="117">
        <f t="shared" si="171"/>
      </c>
      <c r="DA45" s="120">
        <f>IF(AND($F$8&lt;8,CZ45&lt;&gt;""),HLOOKUP(MATCH(EV45,EZ45:FF45,0),Discards,1,FALSE),"")</f>
      </c>
      <c r="DB45" s="117">
        <f t="shared" si="216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2"/>
      </c>
      <c r="DG45" s="21"/>
      <c r="DH45" s="114">
        <f t="shared" si="217"/>
      </c>
      <c r="DI45" s="114">
        <f t="shared" si="218"/>
        <v>0</v>
      </c>
      <c r="DJ45" s="115">
        <f ca="1">IF(OR(DE45&lt;&gt;"",DG45&lt;&gt;""),RANK(DI45,DI$11:INDIRECT(DI$7,FALSE)),"")</f>
      </c>
      <c r="DK45" s="116"/>
      <c r="DL45" s="117">
        <f t="shared" si="173"/>
      </c>
      <c r="DM45" s="120">
        <f>IF(AND($F$8&lt;9,DL45&lt;&gt;""),HLOOKUP(MATCH(EW45,EZ45:FG45,0),Discards,1,FALSE),"")</f>
      </c>
      <c r="DN45" s="117">
        <f t="shared" si="219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4"/>
      </c>
      <c r="DS45" s="21"/>
      <c r="DT45" s="114">
        <f t="shared" si="220"/>
      </c>
      <c r="DU45" s="114">
        <f t="shared" si="221"/>
        <v>0</v>
      </c>
      <c r="DV45" s="115">
        <f ca="1">IF(OR(DQ45&lt;&gt;"",DS45&lt;&gt;""),RANK(DU45,DU$11:INDIRECT(DU$7,FALSE)),"")</f>
      </c>
      <c r="DW45" s="116"/>
      <c r="DX45" s="117">
        <f t="shared" si="175"/>
      </c>
      <c r="DY45" s="120">
        <f>IF(AND($F$8&lt;10,DX45&lt;&gt;""),HLOOKUP(MATCH(EX45,EZ45:FH45,0),Discards,1,FALSE),"")</f>
      </c>
      <c r="DZ45" s="117">
        <f t="shared" si="222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6"/>
      </c>
      <c r="EE45" s="21"/>
      <c r="EF45" s="114">
        <f t="shared" si="223"/>
      </c>
      <c r="EG45" s="114">
        <f t="shared" si="224"/>
        <v>0</v>
      </c>
      <c r="EH45" s="115">
        <f ca="1">IF(OR(EC45&lt;&gt;"",EE45&lt;&gt;""),RANK(EG45,EG$11:INDIRECT(EG$7,FALSE)),"")</f>
      </c>
      <c r="EI45" s="116"/>
      <c r="EJ45" s="117">
        <f t="shared" si="177"/>
      </c>
      <c r="EK45" s="120">
        <f>IF(AND($F$8&lt;11,EJ45&lt;&gt;""),HLOOKUP(MATCH(EY45,EZ45:FI45,0),Discards,1,FALSE),"")</f>
      </c>
      <c r="EL45" s="117">
        <f t="shared" si="225"/>
        <v>0</v>
      </c>
      <c r="EM45" s="118">
        <f ca="1">IF(OR(EC45&lt;&gt;"",EE45&lt;&gt;""),RANK(EL45,EL$11:INDIRECT(EL$7,FALSE)),"")</f>
      </c>
      <c r="EN45" s="121"/>
      <c r="EP45" s="112">
        <f t="shared" si="21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8"/>
      </c>
      <c r="FA45" s="28">
        <f t="shared" si="179"/>
      </c>
      <c r="FB45" s="28">
        <f t="shared" si="180"/>
      </c>
      <c r="FC45" s="28">
        <f t="shared" si="181"/>
      </c>
      <c r="FD45" s="28">
        <f t="shared" si="182"/>
      </c>
      <c r="FE45" s="28">
        <f t="shared" si="183"/>
      </c>
      <c r="FF45" s="28">
        <f t="shared" si="184"/>
      </c>
      <c r="FG45" s="28">
        <f t="shared" si="185"/>
      </c>
      <c r="FH45" s="28">
        <f t="shared" si="186"/>
      </c>
      <c r="FI45" s="28">
        <f t="shared" si="187"/>
      </c>
      <c r="FL45" s="26">
        <f t="shared" si="226"/>
        <v>255000000</v>
      </c>
      <c r="FM45" s="26">
        <f t="shared" si="227"/>
        <v>255000</v>
      </c>
      <c r="FN45" s="26">
        <f t="shared" si="228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29"/>
        <v>0</v>
      </c>
      <c r="FR45" s="26">
        <f t="shared" si="230"/>
        <v>0</v>
      </c>
      <c r="FS45" s="26">
        <f t="shared" si="231"/>
        <v>0</v>
      </c>
      <c r="FT45" s="26">
        <f t="shared" si="232"/>
      </c>
      <c r="FU45" s="26">
        <f t="shared" si="233"/>
        <v>24</v>
      </c>
      <c r="FV45" s="28">
        <f t="shared" si="32"/>
      </c>
      <c r="FW45" s="26">
        <f aca="true" t="shared" si="246" ref="FW45:FW60">IF(FT45&lt;&gt;FT44,FT45,"")</f>
      </c>
      <c r="FX45" s="28">
        <f t="shared" si="234"/>
      </c>
      <c r="FY45" s="26">
        <f ca="1">IF(FX45&lt;&gt;"",RANK(FX45,FX$11:INDIRECT(FX$7,FALSE)),"")</f>
      </c>
      <c r="FZ45" s="26">
        <f t="shared" si="235"/>
      </c>
      <c r="GA45" s="26">
        <f t="shared" si="81"/>
      </c>
      <c r="GC45" s="27">
        <f t="shared" si="188"/>
      </c>
      <c r="GD45" s="27">
        <f t="shared" si="189"/>
      </c>
      <c r="GE45" s="27">
        <f t="shared" si="236"/>
      </c>
      <c r="GF45" s="27">
        <f t="shared" si="237"/>
      </c>
      <c r="GG45" s="27">
        <f t="shared" si="238"/>
        <v>0</v>
      </c>
      <c r="GH45" s="26">
        <f t="shared" si="239"/>
        <v>0</v>
      </c>
      <c r="GI45" s="26">
        <f t="shared" si="240"/>
        <v>0</v>
      </c>
      <c r="GJ45" s="26">
        <f t="shared" si="241"/>
        <v>0</v>
      </c>
      <c r="GK45" s="26">
        <f t="shared" si="242"/>
      </c>
      <c r="GL45" s="28">
        <f t="shared" si="243"/>
      </c>
      <c r="GM45" s="26">
        <f t="shared" si="244"/>
      </c>
    </row>
    <row r="46" spans="1:195" ht="12.75">
      <c r="A46" s="132">
        <f t="shared" si="245"/>
        <v>36</v>
      </c>
      <c r="B46" s="133"/>
      <c r="C46" s="134"/>
      <c r="D46" s="135"/>
      <c r="E46" s="134"/>
      <c r="F46" s="134"/>
      <c r="G46" s="149"/>
      <c r="H46" s="136">
        <f t="shared" si="190"/>
      </c>
      <c r="I46" s="137">
        <f t="shared" si="191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2"/>
      </c>
      <c r="M46" s="137">
        <f t="shared" si="193"/>
        <v>0</v>
      </c>
      <c r="N46" s="138">
        <f t="shared" si="159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4"/>
      </c>
      <c r="AB46" s="21"/>
      <c r="AC46" s="114">
        <f t="shared" si="195"/>
      </c>
      <c r="AD46" s="114">
        <f t="shared" si="196"/>
        <v>0</v>
      </c>
      <c r="AE46" s="115">
        <f ca="1">IF(OR(Z46&lt;&gt;"",AB46&lt;&gt;""),RANK(AD46,AD$11:INDIRECT(AD$7,FALSE)),"")</f>
      </c>
      <c r="AF46" s="116"/>
      <c r="AG46" s="117">
        <f t="shared" si="197"/>
      </c>
      <c r="AH46" s="117">
        <f t="shared" si="198"/>
        <v>0</v>
      </c>
      <c r="AI46" s="118">
        <f ca="1">IF(OR(Z46&lt;&gt;"",AB46&lt;&gt;""),RANK(AH46,AH$11:INDIRECT(AH$7,FALSE)),"")</f>
      </c>
      <c r="AJ46" s="119"/>
      <c r="AK46" s="5"/>
      <c r="AL46" s="113">
        <f t="shared" si="199"/>
      </c>
      <c r="AM46" s="21"/>
      <c r="AN46" s="114">
        <f t="shared" si="200"/>
      </c>
      <c r="AO46" s="114">
        <f t="shared" si="201"/>
        <v>0</v>
      </c>
      <c r="AP46" s="115">
        <f ca="1">IF(OR(AK46&lt;&gt;"",AM46&lt;&gt;""),RANK(AO46,AO$11:INDIRECT(AO$7,FALSE)),"")</f>
      </c>
      <c r="AQ46" s="116"/>
      <c r="AR46" s="117">
        <f t="shared" si="160"/>
      </c>
      <c r="AS46" s="120">
        <f>IF(AND($F$8&lt;3,AR46&lt;&gt;""),HLOOKUP(MATCH(EQ46,EZ46:FA46,0),Discards,1,FALSE),"")</f>
      </c>
      <c r="AT46" s="117">
        <f t="shared" si="161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2"/>
      </c>
      <c r="AY46" s="21"/>
      <c r="AZ46" s="114">
        <f t="shared" si="202"/>
      </c>
      <c r="BA46" s="114">
        <f t="shared" si="203"/>
        <v>0</v>
      </c>
      <c r="BB46" s="115">
        <f ca="1">IF(OR(AW46&lt;&gt;"",AY46&lt;&gt;""),RANK(BA46,BA$11:INDIRECT(BA$7,FALSE)),"")</f>
      </c>
      <c r="BC46" s="116"/>
      <c r="BD46" s="117">
        <f t="shared" si="163"/>
      </c>
      <c r="BE46" s="120">
        <f>IF(AND($F$8&lt;4,BD46&lt;&gt;""),HLOOKUP(MATCH(ER46,EZ46:FB46,0),Discards,1,FALSE),"")</f>
      </c>
      <c r="BF46" s="117">
        <f t="shared" si="204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4"/>
      </c>
      <c r="BK46" s="21"/>
      <c r="BL46" s="114">
        <f t="shared" si="205"/>
      </c>
      <c r="BM46" s="114">
        <f t="shared" si="206"/>
        <v>0</v>
      </c>
      <c r="BN46" s="115">
        <f ca="1">IF(OR(BI46&lt;&gt;"",BK46&lt;&gt;""),RANK(BM46,BM$11:INDIRECT(BM$7,FALSE)),"")</f>
      </c>
      <c r="BO46" s="116"/>
      <c r="BP46" s="117">
        <f t="shared" si="165"/>
      </c>
      <c r="BQ46" s="120">
        <f>IF(AND($F$8&lt;5,BP46&lt;&gt;""),HLOOKUP(MATCH(ES46,EZ46:FC46,0),Discards,1,FALSE),"")</f>
      </c>
      <c r="BR46" s="117">
        <f t="shared" si="207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6"/>
      </c>
      <c r="BW46" s="21"/>
      <c r="BX46" s="114">
        <f t="shared" si="208"/>
      </c>
      <c r="BY46" s="114">
        <f t="shared" si="209"/>
        <v>0</v>
      </c>
      <c r="BZ46" s="115">
        <f ca="1">IF(OR(BU46&lt;&gt;"",BW46&lt;&gt;""),RANK(BY46,BY$11:INDIRECT(BY$7,FALSE)),"")</f>
      </c>
      <c r="CA46" s="116"/>
      <c r="CB46" s="117">
        <f t="shared" si="167"/>
      </c>
      <c r="CC46" s="120">
        <f>IF(AND($F$8&lt;6,CB46&lt;&gt;""),HLOOKUP(MATCH(ET46,EZ46:FD46,0),Discards,1,FALSE),"")</f>
      </c>
      <c r="CD46" s="117">
        <f t="shared" si="210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8"/>
      </c>
      <c r="CI46" s="21"/>
      <c r="CJ46" s="114">
        <f t="shared" si="211"/>
      </c>
      <c r="CK46" s="114">
        <f t="shared" si="212"/>
        <v>0</v>
      </c>
      <c r="CL46" s="115">
        <f ca="1">IF(OR(CG46&lt;&gt;"",CI46&lt;&gt;""),RANK(CK46,CK$11:INDIRECT(CK$7,FALSE)),"")</f>
      </c>
      <c r="CM46" s="116"/>
      <c r="CN46" s="117">
        <f t="shared" si="169"/>
      </c>
      <c r="CO46" s="120">
        <f>IF(AND($F$8&lt;7,CN46&lt;&gt;""),HLOOKUP(MATCH(EU46,EZ46:FE46,0),Discards,1,FALSE),"")</f>
      </c>
      <c r="CP46" s="117">
        <f t="shared" si="213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0"/>
      </c>
      <c r="CU46" s="21"/>
      <c r="CV46" s="114">
        <f t="shared" si="214"/>
      </c>
      <c r="CW46" s="114">
        <f t="shared" si="215"/>
        <v>0</v>
      </c>
      <c r="CX46" s="115">
        <f ca="1">IF(OR(CS46&lt;&gt;"",CU46&lt;&gt;""),RANK(CW46,CW$11:INDIRECT(CW$7,FALSE)),"")</f>
      </c>
      <c r="CY46" s="116"/>
      <c r="CZ46" s="117">
        <f t="shared" si="171"/>
      </c>
      <c r="DA46" s="120">
        <f>IF(AND($F$8&lt;8,CZ46&lt;&gt;""),HLOOKUP(MATCH(EV46,EZ46:FF46,0),Discards,1,FALSE),"")</f>
      </c>
      <c r="DB46" s="117">
        <f t="shared" si="216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2"/>
      </c>
      <c r="DG46" s="21"/>
      <c r="DH46" s="114">
        <f t="shared" si="217"/>
      </c>
      <c r="DI46" s="114">
        <f t="shared" si="218"/>
        <v>0</v>
      </c>
      <c r="DJ46" s="115">
        <f ca="1">IF(OR(DE46&lt;&gt;"",DG46&lt;&gt;""),RANK(DI46,DI$11:INDIRECT(DI$7,FALSE)),"")</f>
      </c>
      <c r="DK46" s="116"/>
      <c r="DL46" s="117">
        <f t="shared" si="173"/>
      </c>
      <c r="DM46" s="120">
        <f>IF(AND($F$8&lt;9,DL46&lt;&gt;""),HLOOKUP(MATCH(EW46,EZ46:FG46,0),Discards,1,FALSE),"")</f>
      </c>
      <c r="DN46" s="117">
        <f t="shared" si="219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4"/>
      </c>
      <c r="DS46" s="21"/>
      <c r="DT46" s="114">
        <f t="shared" si="220"/>
      </c>
      <c r="DU46" s="114">
        <f t="shared" si="221"/>
        <v>0</v>
      </c>
      <c r="DV46" s="115">
        <f ca="1">IF(OR(DQ46&lt;&gt;"",DS46&lt;&gt;""),RANK(DU46,DU$11:INDIRECT(DU$7,FALSE)),"")</f>
      </c>
      <c r="DW46" s="116"/>
      <c r="DX46" s="117">
        <f t="shared" si="175"/>
      </c>
      <c r="DY46" s="120">
        <f>IF(AND($F$8&lt;10,DX46&lt;&gt;""),HLOOKUP(MATCH(EX46,EZ46:FH46,0),Discards,1,FALSE),"")</f>
      </c>
      <c r="DZ46" s="117">
        <f t="shared" si="222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6"/>
      </c>
      <c r="EE46" s="21"/>
      <c r="EF46" s="114">
        <f t="shared" si="223"/>
      </c>
      <c r="EG46" s="114">
        <f t="shared" si="224"/>
        <v>0</v>
      </c>
      <c r="EH46" s="115">
        <f ca="1">IF(OR(EC46&lt;&gt;"",EE46&lt;&gt;""),RANK(EG46,EG$11:INDIRECT(EG$7,FALSE)),"")</f>
      </c>
      <c r="EI46" s="116"/>
      <c r="EJ46" s="117">
        <f t="shared" si="177"/>
      </c>
      <c r="EK46" s="120">
        <f>IF(AND($F$8&lt;11,EJ46&lt;&gt;""),HLOOKUP(MATCH(EY46,EZ46:FI46,0),Discards,1,FALSE),"")</f>
      </c>
      <c r="EL46" s="117">
        <f t="shared" si="225"/>
        <v>0</v>
      </c>
      <c r="EM46" s="118">
        <f ca="1">IF(OR(EC46&lt;&gt;"",EE46&lt;&gt;""),RANK(EL46,EL$11:INDIRECT(EL$7,FALSE)),"")</f>
      </c>
      <c r="EN46" s="121"/>
      <c r="EP46" s="112">
        <f t="shared" si="21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8"/>
      </c>
      <c r="FA46" s="28">
        <f t="shared" si="179"/>
      </c>
      <c r="FB46" s="28">
        <f t="shared" si="180"/>
      </c>
      <c r="FC46" s="28">
        <f t="shared" si="181"/>
      </c>
      <c r="FD46" s="28">
        <f t="shared" si="182"/>
      </c>
      <c r="FE46" s="28">
        <f t="shared" si="183"/>
      </c>
      <c r="FF46" s="28">
        <f t="shared" si="184"/>
      </c>
      <c r="FG46" s="28">
        <f t="shared" si="185"/>
      </c>
      <c r="FH46" s="28">
        <f t="shared" si="186"/>
      </c>
      <c r="FI46" s="28">
        <f t="shared" si="187"/>
      </c>
      <c r="FL46" s="26">
        <f t="shared" si="226"/>
        <v>255000000</v>
      </c>
      <c r="FM46" s="26">
        <f t="shared" si="227"/>
        <v>255000</v>
      </c>
      <c r="FN46" s="26">
        <f t="shared" si="228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29"/>
        <v>0</v>
      </c>
      <c r="FR46" s="26">
        <f t="shared" si="230"/>
        <v>0</v>
      </c>
      <c r="FS46" s="26">
        <f t="shared" si="231"/>
        <v>0</v>
      </c>
      <c r="FT46" s="26">
        <f t="shared" si="232"/>
      </c>
      <c r="FU46" s="26">
        <f t="shared" si="233"/>
        <v>24</v>
      </c>
      <c r="FV46" s="28">
        <f t="shared" si="32"/>
      </c>
      <c r="FW46" s="26">
        <f t="shared" si="246"/>
      </c>
      <c r="FX46" s="28">
        <f t="shared" si="234"/>
      </c>
      <c r="FY46" s="26">
        <f ca="1">IF(FX46&lt;&gt;"",RANK(FX46,FX$11:INDIRECT(FX$7,FALSE)),"")</f>
      </c>
      <c r="FZ46" s="26">
        <f t="shared" si="235"/>
      </c>
      <c r="GA46" s="26">
        <f t="shared" si="81"/>
      </c>
      <c r="GC46" s="27">
        <f t="shared" si="188"/>
      </c>
      <c r="GD46" s="27">
        <f t="shared" si="189"/>
      </c>
      <c r="GE46" s="27">
        <f t="shared" si="236"/>
      </c>
      <c r="GF46" s="27">
        <f t="shared" si="237"/>
      </c>
      <c r="GG46" s="27">
        <f t="shared" si="238"/>
        <v>0</v>
      </c>
      <c r="GH46" s="26">
        <f t="shared" si="239"/>
        <v>0</v>
      </c>
      <c r="GI46" s="26">
        <f t="shared" si="240"/>
        <v>0</v>
      </c>
      <c r="GJ46" s="26">
        <f t="shared" si="241"/>
        <v>0</v>
      </c>
      <c r="GK46" s="26">
        <f t="shared" si="242"/>
      </c>
      <c r="GL46" s="28">
        <f t="shared" si="243"/>
      </c>
      <c r="GM46" s="26">
        <f t="shared" si="244"/>
      </c>
    </row>
    <row r="47" spans="1:195" ht="12.75">
      <c r="A47" s="16">
        <f t="shared" si="245"/>
        <v>37</v>
      </c>
      <c r="B47" s="17"/>
      <c r="C47" s="18"/>
      <c r="D47" s="19"/>
      <c r="E47" s="18"/>
      <c r="F47" s="18"/>
      <c r="G47" s="148"/>
      <c r="H47" s="122">
        <f t="shared" si="190"/>
      </c>
      <c r="I47" s="30">
        <f t="shared" si="191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2"/>
      </c>
      <c r="M47" s="102">
        <f t="shared" si="193"/>
        <v>0</v>
      </c>
      <c r="N47" s="51">
        <f t="shared" si="159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4"/>
      </c>
      <c r="AB47" s="20"/>
      <c r="AC47" s="104">
        <f t="shared" si="195"/>
      </c>
      <c r="AD47" s="104">
        <f t="shared" si="196"/>
        <v>0</v>
      </c>
      <c r="AE47" s="105">
        <f ca="1">IF(OR(Z47&lt;&gt;"",AB47&lt;&gt;""),RANK(AD47,AD$11:INDIRECT(AD$7,FALSE)),"")</f>
      </c>
      <c r="AF47" s="106"/>
      <c r="AG47" s="107">
        <f t="shared" si="197"/>
      </c>
      <c r="AH47" s="107">
        <f t="shared" si="198"/>
        <v>0</v>
      </c>
      <c r="AI47" s="108">
        <f ca="1">IF(OR(Z47&lt;&gt;"",AB47&lt;&gt;""),RANK(AH47,AH$11:INDIRECT(AH$7,FALSE)),"")</f>
      </c>
      <c r="AJ47" s="109"/>
      <c r="AK47" s="4"/>
      <c r="AL47" s="103">
        <f t="shared" si="199"/>
      </c>
      <c r="AM47" s="20"/>
      <c r="AN47" s="104">
        <f t="shared" si="200"/>
      </c>
      <c r="AO47" s="104">
        <f t="shared" si="201"/>
        <v>0</v>
      </c>
      <c r="AP47" s="105">
        <f ca="1">IF(OR(AK47&lt;&gt;"",AM47&lt;&gt;""),RANK(AO47,AO$11:INDIRECT(AO$7,FALSE)),"")</f>
      </c>
      <c r="AQ47" s="106"/>
      <c r="AR47" s="107">
        <f t="shared" si="160"/>
      </c>
      <c r="AS47" s="110">
        <f>IF(AND($F$8&lt;3,AR47&lt;&gt;""),HLOOKUP(MATCH(EQ47,EZ47:FA47,0),Discards,1,FALSE),"")</f>
      </c>
      <c r="AT47" s="107">
        <f t="shared" si="161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2"/>
      </c>
      <c r="AY47" s="20"/>
      <c r="AZ47" s="104">
        <f t="shared" si="202"/>
      </c>
      <c r="BA47" s="104">
        <f t="shared" si="203"/>
        <v>0</v>
      </c>
      <c r="BB47" s="105">
        <f ca="1">IF(OR(AW47&lt;&gt;"",AY47&lt;&gt;""),RANK(BA47,BA$11:INDIRECT(BA$7,FALSE)),"")</f>
      </c>
      <c r="BC47" s="106"/>
      <c r="BD47" s="107">
        <f t="shared" si="163"/>
      </c>
      <c r="BE47" s="110">
        <f>IF(AND($F$8&lt;4,BD47&lt;&gt;""),HLOOKUP(MATCH(ER47,EZ47:FB47,0),Discards,1,FALSE),"")</f>
      </c>
      <c r="BF47" s="107">
        <f t="shared" si="204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4"/>
      </c>
      <c r="BK47" s="20"/>
      <c r="BL47" s="104">
        <f t="shared" si="205"/>
      </c>
      <c r="BM47" s="104">
        <f t="shared" si="206"/>
        <v>0</v>
      </c>
      <c r="BN47" s="105">
        <f ca="1">IF(OR(BI47&lt;&gt;"",BK47&lt;&gt;""),RANK(BM47,BM$11:INDIRECT(BM$7,FALSE)),"")</f>
      </c>
      <c r="BO47" s="106"/>
      <c r="BP47" s="107">
        <f t="shared" si="165"/>
      </c>
      <c r="BQ47" s="110">
        <f>IF(AND($F$8&lt;5,BP47&lt;&gt;""),HLOOKUP(MATCH(ES47,EZ47:FC47,0),Discards,1,FALSE),"")</f>
      </c>
      <c r="BR47" s="107">
        <f t="shared" si="207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6"/>
      </c>
      <c r="BW47" s="20"/>
      <c r="BX47" s="104">
        <f t="shared" si="208"/>
      </c>
      <c r="BY47" s="104">
        <f t="shared" si="209"/>
        <v>0</v>
      </c>
      <c r="BZ47" s="105">
        <f ca="1">IF(OR(BU47&lt;&gt;"",BW47&lt;&gt;""),RANK(BY47,BY$11:INDIRECT(BY$7,FALSE)),"")</f>
      </c>
      <c r="CA47" s="106"/>
      <c r="CB47" s="107">
        <f t="shared" si="167"/>
      </c>
      <c r="CC47" s="110">
        <f>IF(AND($F$8&lt;6,CB47&lt;&gt;""),HLOOKUP(MATCH(ET47,EZ47:FD47,0),Discards,1,FALSE),"")</f>
      </c>
      <c r="CD47" s="107">
        <f t="shared" si="210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8"/>
      </c>
      <c r="CI47" s="20"/>
      <c r="CJ47" s="104">
        <f t="shared" si="211"/>
      </c>
      <c r="CK47" s="104">
        <f t="shared" si="212"/>
        <v>0</v>
      </c>
      <c r="CL47" s="105">
        <f ca="1">IF(OR(CG47&lt;&gt;"",CI47&lt;&gt;""),RANK(CK47,CK$11:INDIRECT(CK$7,FALSE)),"")</f>
      </c>
      <c r="CM47" s="106"/>
      <c r="CN47" s="107">
        <f t="shared" si="169"/>
      </c>
      <c r="CO47" s="110">
        <f>IF(AND($F$8&lt;7,CN47&lt;&gt;""),HLOOKUP(MATCH(EU47,EZ47:FE47,0),Discards,1,FALSE),"")</f>
      </c>
      <c r="CP47" s="107">
        <f t="shared" si="213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0"/>
      </c>
      <c r="CU47" s="20"/>
      <c r="CV47" s="104">
        <f t="shared" si="214"/>
      </c>
      <c r="CW47" s="104">
        <f t="shared" si="215"/>
        <v>0</v>
      </c>
      <c r="CX47" s="105">
        <f ca="1">IF(OR(CS47&lt;&gt;"",CU47&lt;&gt;""),RANK(CW47,CW$11:INDIRECT(CW$7,FALSE)),"")</f>
      </c>
      <c r="CY47" s="106"/>
      <c r="CZ47" s="107">
        <f t="shared" si="171"/>
      </c>
      <c r="DA47" s="110">
        <f>IF(AND($F$8&lt;8,CZ47&lt;&gt;""),HLOOKUP(MATCH(EV47,EZ47:FF47,0),Discards,1,FALSE),"")</f>
      </c>
      <c r="DB47" s="107">
        <f t="shared" si="216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2"/>
      </c>
      <c r="DG47" s="20"/>
      <c r="DH47" s="104">
        <f t="shared" si="217"/>
      </c>
      <c r="DI47" s="104">
        <f t="shared" si="218"/>
        <v>0</v>
      </c>
      <c r="DJ47" s="105">
        <f ca="1">IF(OR(DE47&lt;&gt;"",DG47&lt;&gt;""),RANK(DI47,DI$11:INDIRECT(DI$7,FALSE)),"")</f>
      </c>
      <c r="DK47" s="106"/>
      <c r="DL47" s="107">
        <f t="shared" si="173"/>
      </c>
      <c r="DM47" s="110">
        <f>IF(AND($F$8&lt;9,DL47&lt;&gt;""),HLOOKUP(MATCH(EW47,EZ47:FG47,0),Discards,1,FALSE),"")</f>
      </c>
      <c r="DN47" s="107">
        <f t="shared" si="219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4"/>
      </c>
      <c r="DS47" s="20"/>
      <c r="DT47" s="104">
        <f t="shared" si="220"/>
      </c>
      <c r="DU47" s="104">
        <f t="shared" si="221"/>
        <v>0</v>
      </c>
      <c r="DV47" s="105">
        <f ca="1">IF(OR(DQ47&lt;&gt;"",DS47&lt;&gt;""),RANK(DU47,DU$11:INDIRECT(DU$7,FALSE)),"")</f>
      </c>
      <c r="DW47" s="106"/>
      <c r="DX47" s="107">
        <f t="shared" si="175"/>
      </c>
      <c r="DY47" s="110">
        <f>IF(AND($F$8&lt;10,DX47&lt;&gt;""),HLOOKUP(MATCH(EX47,EZ47:FH47,0),Discards,1,FALSE),"")</f>
      </c>
      <c r="DZ47" s="107">
        <f t="shared" si="222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6"/>
      </c>
      <c r="EE47" s="20"/>
      <c r="EF47" s="104">
        <f t="shared" si="223"/>
      </c>
      <c r="EG47" s="104">
        <f t="shared" si="224"/>
        <v>0</v>
      </c>
      <c r="EH47" s="105">
        <f ca="1">IF(OR(EC47&lt;&gt;"",EE47&lt;&gt;""),RANK(EG47,EG$11:INDIRECT(EG$7,FALSE)),"")</f>
      </c>
      <c r="EI47" s="106"/>
      <c r="EJ47" s="107">
        <f t="shared" si="177"/>
      </c>
      <c r="EK47" s="110">
        <f>IF(AND($F$8&lt;11,EJ47&lt;&gt;""),HLOOKUP(MATCH(EY47,EZ47:FI47,0),Discards,1,FALSE),"")</f>
      </c>
      <c r="EL47" s="107">
        <f t="shared" si="225"/>
        <v>0</v>
      </c>
      <c r="EM47" s="108">
        <f ca="1">IF(OR(EC47&lt;&gt;"",EE47&lt;&gt;""),RANK(EL47,EL$11:INDIRECT(EL$7,FALSE)),"")</f>
      </c>
      <c r="EN47" s="111"/>
      <c r="EP47" s="112">
        <f aca="true" t="shared" si="247" ref="EP47:EP59">IF(C47&lt;&gt;"",1,0)</f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8"/>
      </c>
      <c r="FA47" s="28">
        <f t="shared" si="179"/>
      </c>
      <c r="FB47" s="28">
        <f t="shared" si="180"/>
      </c>
      <c r="FC47" s="28">
        <f t="shared" si="181"/>
      </c>
      <c r="FD47" s="28">
        <f t="shared" si="182"/>
      </c>
      <c r="FE47" s="28">
        <f t="shared" si="183"/>
      </c>
      <c r="FF47" s="28">
        <f t="shared" si="184"/>
      </c>
      <c r="FG47" s="28">
        <f t="shared" si="185"/>
      </c>
      <c r="FH47" s="28">
        <f t="shared" si="186"/>
      </c>
      <c r="FI47" s="28">
        <f t="shared" si="187"/>
      </c>
      <c r="FL47" s="26">
        <f t="shared" si="226"/>
        <v>255000000</v>
      </c>
      <c r="FM47" s="26">
        <f t="shared" si="227"/>
        <v>255000</v>
      </c>
      <c r="FN47" s="26">
        <f t="shared" si="228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29"/>
        <v>0</v>
      </c>
      <c r="FR47" s="26">
        <f t="shared" si="230"/>
        <v>0</v>
      </c>
      <c r="FS47" s="26">
        <f t="shared" si="231"/>
        <v>0</v>
      </c>
      <c r="FT47" s="26">
        <f t="shared" si="232"/>
      </c>
      <c r="FU47" s="26">
        <f t="shared" si="233"/>
        <v>24</v>
      </c>
      <c r="FV47" s="28">
        <f aca="true" t="shared" si="248" ref="FV47:FV62">IF(AND(C47&lt;&gt;"",$AA$5,FU47&lt;&gt;"",FP47&lt;&gt;255255255),VLOOKUP(MATCH(FT47,$H$11:$H$62,0),Competitors,12,FALSE),"")</f>
      </c>
      <c r="FW47" s="26">
        <f t="shared" si="246"/>
      </c>
      <c r="FX47" s="28">
        <f t="shared" si="234"/>
      </c>
      <c r="FY47" s="26">
        <f ca="1">IF(FX47&lt;&gt;"",RANK(FX47,FX$11:INDIRECT(FX$7,FALSE)),"")</f>
      </c>
      <c r="FZ47" s="26">
        <f t="shared" si="235"/>
      </c>
      <c r="GA47" s="26">
        <f t="shared" si="81"/>
      </c>
      <c r="GC47" s="27">
        <f t="shared" si="188"/>
      </c>
      <c r="GD47" s="27">
        <f t="shared" si="189"/>
      </c>
      <c r="GE47" s="27">
        <f t="shared" si="236"/>
      </c>
      <c r="GF47" s="27">
        <f t="shared" si="237"/>
      </c>
      <c r="GG47" s="27">
        <f t="shared" si="238"/>
        <v>0</v>
      </c>
      <c r="GH47" s="26">
        <f t="shared" si="239"/>
        <v>0</v>
      </c>
      <c r="GI47" s="26">
        <f t="shared" si="240"/>
        <v>0</v>
      </c>
      <c r="GJ47" s="26">
        <f t="shared" si="241"/>
        <v>0</v>
      </c>
      <c r="GK47" s="26">
        <f t="shared" si="242"/>
      </c>
      <c r="GL47" s="28">
        <f t="shared" si="243"/>
      </c>
      <c r="GM47" s="26">
        <f t="shared" si="244"/>
      </c>
    </row>
    <row r="48" spans="1:195" ht="12.75">
      <c r="A48" s="16">
        <f t="shared" si="245"/>
        <v>38</v>
      </c>
      <c r="B48" s="17"/>
      <c r="C48" s="18"/>
      <c r="D48" s="19"/>
      <c r="E48" s="18"/>
      <c r="F48" s="18"/>
      <c r="G48" s="148"/>
      <c r="H48" s="122">
        <f t="shared" si="190"/>
      </c>
      <c r="I48" s="30">
        <f t="shared" si="191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2"/>
      </c>
      <c r="M48" s="102">
        <f t="shared" si="193"/>
        <v>0</v>
      </c>
      <c r="N48" s="51">
        <f t="shared" si="159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4"/>
      </c>
      <c r="AB48" s="20"/>
      <c r="AC48" s="104">
        <f t="shared" si="195"/>
      </c>
      <c r="AD48" s="104">
        <f t="shared" si="196"/>
        <v>0</v>
      </c>
      <c r="AE48" s="105">
        <f ca="1">IF(OR(Z48&lt;&gt;"",AB48&lt;&gt;""),RANK(AD48,AD$11:INDIRECT(AD$7,FALSE)),"")</f>
      </c>
      <c r="AF48" s="106"/>
      <c r="AG48" s="107">
        <f t="shared" si="197"/>
      </c>
      <c r="AH48" s="107">
        <f t="shared" si="198"/>
        <v>0</v>
      </c>
      <c r="AI48" s="108">
        <f ca="1">IF(OR(Z48&lt;&gt;"",AB48&lt;&gt;""),RANK(AH48,AH$11:INDIRECT(AH$7,FALSE)),"")</f>
      </c>
      <c r="AJ48" s="109"/>
      <c r="AK48" s="4"/>
      <c r="AL48" s="103">
        <f t="shared" si="199"/>
      </c>
      <c r="AM48" s="20"/>
      <c r="AN48" s="104">
        <f t="shared" si="200"/>
      </c>
      <c r="AO48" s="104">
        <f t="shared" si="201"/>
        <v>0</v>
      </c>
      <c r="AP48" s="105">
        <f ca="1">IF(OR(AK48&lt;&gt;"",AM48&lt;&gt;""),RANK(AO48,AO$11:INDIRECT(AO$7,FALSE)),"")</f>
      </c>
      <c r="AQ48" s="106"/>
      <c r="AR48" s="107">
        <f t="shared" si="160"/>
      </c>
      <c r="AS48" s="110">
        <f>IF(AND($F$8&lt;3,AR48&lt;&gt;""),HLOOKUP(MATCH(EQ48,EZ48:FA48,0),Discards,1,FALSE),"")</f>
      </c>
      <c r="AT48" s="107">
        <f t="shared" si="161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2"/>
      </c>
      <c r="AY48" s="20"/>
      <c r="AZ48" s="104">
        <f t="shared" si="202"/>
      </c>
      <c r="BA48" s="104">
        <f t="shared" si="203"/>
        <v>0</v>
      </c>
      <c r="BB48" s="105">
        <f ca="1">IF(OR(AW48&lt;&gt;"",AY48&lt;&gt;""),RANK(BA48,BA$11:INDIRECT(BA$7,FALSE)),"")</f>
      </c>
      <c r="BC48" s="106"/>
      <c r="BD48" s="107">
        <f t="shared" si="163"/>
      </c>
      <c r="BE48" s="110">
        <f>IF(AND($F$8&lt;4,BD48&lt;&gt;""),HLOOKUP(MATCH(ER48,EZ48:FB48,0),Discards,1,FALSE),"")</f>
      </c>
      <c r="BF48" s="107">
        <f t="shared" si="204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4"/>
      </c>
      <c r="BK48" s="20"/>
      <c r="BL48" s="104">
        <f t="shared" si="205"/>
      </c>
      <c r="BM48" s="104">
        <f t="shared" si="206"/>
        <v>0</v>
      </c>
      <c r="BN48" s="105">
        <f ca="1">IF(OR(BI48&lt;&gt;"",BK48&lt;&gt;""),RANK(BM48,BM$11:INDIRECT(BM$7,FALSE)),"")</f>
      </c>
      <c r="BO48" s="106"/>
      <c r="BP48" s="107">
        <f t="shared" si="165"/>
      </c>
      <c r="BQ48" s="110">
        <f>IF(AND($F$8&lt;5,BP48&lt;&gt;""),HLOOKUP(MATCH(ES48,EZ48:FC48,0),Discards,1,FALSE),"")</f>
      </c>
      <c r="BR48" s="107">
        <f t="shared" si="207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6"/>
      </c>
      <c r="BW48" s="20"/>
      <c r="BX48" s="104">
        <f t="shared" si="208"/>
      </c>
      <c r="BY48" s="104">
        <f t="shared" si="209"/>
        <v>0</v>
      </c>
      <c r="BZ48" s="105">
        <f ca="1">IF(OR(BU48&lt;&gt;"",BW48&lt;&gt;""),RANK(BY48,BY$11:INDIRECT(BY$7,FALSE)),"")</f>
      </c>
      <c r="CA48" s="106"/>
      <c r="CB48" s="107">
        <f t="shared" si="167"/>
      </c>
      <c r="CC48" s="110">
        <f>IF(AND($F$8&lt;6,CB48&lt;&gt;""),HLOOKUP(MATCH(ET48,EZ48:FD48,0),Discards,1,FALSE),"")</f>
      </c>
      <c r="CD48" s="107">
        <f t="shared" si="210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8"/>
      </c>
      <c r="CI48" s="20"/>
      <c r="CJ48" s="104">
        <f t="shared" si="211"/>
      </c>
      <c r="CK48" s="104">
        <f t="shared" si="212"/>
        <v>0</v>
      </c>
      <c r="CL48" s="105">
        <f ca="1">IF(OR(CG48&lt;&gt;"",CI48&lt;&gt;""),RANK(CK48,CK$11:INDIRECT(CK$7,FALSE)),"")</f>
      </c>
      <c r="CM48" s="106"/>
      <c r="CN48" s="107">
        <f t="shared" si="169"/>
      </c>
      <c r="CO48" s="110">
        <f>IF(AND($F$8&lt;7,CN48&lt;&gt;""),HLOOKUP(MATCH(EU48,EZ48:FE48,0),Discards,1,FALSE),"")</f>
      </c>
      <c r="CP48" s="107">
        <f t="shared" si="213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0"/>
      </c>
      <c r="CU48" s="20"/>
      <c r="CV48" s="104">
        <f t="shared" si="214"/>
      </c>
      <c r="CW48" s="104">
        <f t="shared" si="215"/>
        <v>0</v>
      </c>
      <c r="CX48" s="105">
        <f ca="1">IF(OR(CS48&lt;&gt;"",CU48&lt;&gt;""),RANK(CW48,CW$11:INDIRECT(CW$7,FALSE)),"")</f>
      </c>
      <c r="CY48" s="106"/>
      <c r="CZ48" s="107">
        <f t="shared" si="171"/>
      </c>
      <c r="DA48" s="110">
        <f>IF(AND($F$8&lt;8,CZ48&lt;&gt;""),HLOOKUP(MATCH(EV48,EZ48:FF48,0),Discards,1,FALSE),"")</f>
      </c>
      <c r="DB48" s="107">
        <f t="shared" si="216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2"/>
      </c>
      <c r="DG48" s="20"/>
      <c r="DH48" s="104">
        <f t="shared" si="217"/>
      </c>
      <c r="DI48" s="104">
        <f t="shared" si="218"/>
        <v>0</v>
      </c>
      <c r="DJ48" s="105">
        <f ca="1">IF(OR(DE48&lt;&gt;"",DG48&lt;&gt;""),RANK(DI48,DI$11:INDIRECT(DI$7,FALSE)),"")</f>
      </c>
      <c r="DK48" s="106"/>
      <c r="DL48" s="107">
        <f t="shared" si="173"/>
      </c>
      <c r="DM48" s="110">
        <f>IF(AND($F$8&lt;9,DL48&lt;&gt;""),HLOOKUP(MATCH(EW48,EZ48:FG48,0),Discards,1,FALSE),"")</f>
      </c>
      <c r="DN48" s="107">
        <f t="shared" si="219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4"/>
      </c>
      <c r="DS48" s="20"/>
      <c r="DT48" s="104">
        <f t="shared" si="220"/>
      </c>
      <c r="DU48" s="104">
        <f t="shared" si="221"/>
        <v>0</v>
      </c>
      <c r="DV48" s="105">
        <f ca="1">IF(OR(DQ48&lt;&gt;"",DS48&lt;&gt;""),RANK(DU48,DU$11:INDIRECT(DU$7,FALSE)),"")</f>
      </c>
      <c r="DW48" s="106"/>
      <c r="DX48" s="107">
        <f t="shared" si="175"/>
      </c>
      <c r="DY48" s="110">
        <f>IF(AND($F$8&lt;10,DX48&lt;&gt;""),HLOOKUP(MATCH(EX48,EZ48:FH48,0),Discards,1,FALSE),"")</f>
      </c>
      <c r="DZ48" s="107">
        <f t="shared" si="222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6"/>
      </c>
      <c r="EE48" s="20"/>
      <c r="EF48" s="104">
        <f t="shared" si="223"/>
      </c>
      <c r="EG48" s="104">
        <f t="shared" si="224"/>
        <v>0</v>
      </c>
      <c r="EH48" s="105">
        <f ca="1">IF(OR(EC48&lt;&gt;"",EE48&lt;&gt;""),RANK(EG48,EG$11:INDIRECT(EG$7,FALSE)),"")</f>
      </c>
      <c r="EI48" s="106"/>
      <c r="EJ48" s="107">
        <f t="shared" si="177"/>
      </c>
      <c r="EK48" s="110">
        <f>IF(AND($F$8&lt;11,EJ48&lt;&gt;""),HLOOKUP(MATCH(EY48,EZ48:FI48,0),Discards,1,FALSE),"")</f>
      </c>
      <c r="EL48" s="107">
        <f t="shared" si="225"/>
        <v>0</v>
      </c>
      <c r="EM48" s="108">
        <f ca="1">IF(OR(EC48&lt;&gt;"",EE48&lt;&gt;""),RANK(EL48,EL$11:INDIRECT(EL$7,FALSE)),"")</f>
      </c>
      <c r="EN48" s="111"/>
      <c r="EP48" s="112">
        <f t="shared" si="247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8"/>
      </c>
      <c r="FA48" s="28">
        <f t="shared" si="179"/>
      </c>
      <c r="FB48" s="28">
        <f t="shared" si="180"/>
      </c>
      <c r="FC48" s="28">
        <f t="shared" si="181"/>
      </c>
      <c r="FD48" s="28">
        <f t="shared" si="182"/>
      </c>
      <c r="FE48" s="28">
        <f t="shared" si="183"/>
      </c>
      <c r="FF48" s="28">
        <f t="shared" si="184"/>
      </c>
      <c r="FG48" s="28">
        <f t="shared" si="185"/>
      </c>
      <c r="FH48" s="28">
        <f t="shared" si="186"/>
      </c>
      <c r="FI48" s="28">
        <f t="shared" si="187"/>
      </c>
      <c r="FL48" s="26">
        <f t="shared" si="226"/>
        <v>255000000</v>
      </c>
      <c r="FM48" s="26">
        <f t="shared" si="227"/>
        <v>255000</v>
      </c>
      <c r="FN48" s="26">
        <f t="shared" si="228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29"/>
        <v>0</v>
      </c>
      <c r="FR48" s="26">
        <f t="shared" si="230"/>
        <v>0</v>
      </c>
      <c r="FS48" s="26">
        <f t="shared" si="231"/>
        <v>0</v>
      </c>
      <c r="FT48" s="26">
        <f t="shared" si="232"/>
      </c>
      <c r="FU48" s="26">
        <f t="shared" si="233"/>
        <v>24</v>
      </c>
      <c r="FV48" s="28">
        <f t="shared" si="248"/>
      </c>
      <c r="FW48" s="26">
        <f t="shared" si="246"/>
      </c>
      <c r="FX48" s="28">
        <f t="shared" si="234"/>
      </c>
      <c r="FY48" s="26">
        <f ca="1">IF(FX48&lt;&gt;"",RANK(FX48,FX$11:INDIRECT(FX$7,FALSE)),"")</f>
      </c>
      <c r="FZ48" s="26">
        <f t="shared" si="235"/>
      </c>
      <c r="GA48" s="26">
        <f t="shared" si="81"/>
      </c>
      <c r="GC48" s="27">
        <f t="shared" si="188"/>
      </c>
      <c r="GD48" s="27">
        <f t="shared" si="189"/>
      </c>
      <c r="GE48" s="27">
        <f t="shared" si="236"/>
      </c>
      <c r="GF48" s="27">
        <f t="shared" si="237"/>
      </c>
      <c r="GG48" s="27">
        <f t="shared" si="238"/>
        <v>0</v>
      </c>
      <c r="GH48" s="26">
        <f t="shared" si="239"/>
        <v>0</v>
      </c>
      <c r="GI48" s="26">
        <f t="shared" si="240"/>
        <v>0</v>
      </c>
      <c r="GJ48" s="26">
        <f t="shared" si="241"/>
        <v>0</v>
      </c>
      <c r="GK48" s="26">
        <f t="shared" si="242"/>
      </c>
      <c r="GL48" s="28">
        <f t="shared" si="243"/>
      </c>
      <c r="GM48" s="26">
        <f t="shared" si="244"/>
      </c>
    </row>
    <row r="49" spans="1:195" ht="12.75">
      <c r="A49" s="16">
        <f t="shared" si="245"/>
        <v>39</v>
      </c>
      <c r="B49" s="17"/>
      <c r="C49" s="18"/>
      <c r="D49" s="19"/>
      <c r="E49" s="18"/>
      <c r="F49" s="18"/>
      <c r="G49" s="148"/>
      <c r="H49" s="122">
        <f t="shared" si="190"/>
      </c>
      <c r="I49" s="30">
        <f t="shared" si="191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2"/>
      </c>
      <c r="M49" s="102">
        <f t="shared" si="193"/>
        <v>0</v>
      </c>
      <c r="N49" s="51">
        <f t="shared" si="159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4"/>
      </c>
      <c r="AB49" s="20"/>
      <c r="AC49" s="104">
        <f t="shared" si="195"/>
      </c>
      <c r="AD49" s="104">
        <f t="shared" si="196"/>
        <v>0</v>
      </c>
      <c r="AE49" s="105">
        <f ca="1">IF(OR(Z49&lt;&gt;"",AB49&lt;&gt;""),RANK(AD49,AD$11:INDIRECT(AD$7,FALSE)),"")</f>
      </c>
      <c r="AF49" s="106"/>
      <c r="AG49" s="107">
        <f t="shared" si="197"/>
      </c>
      <c r="AH49" s="107">
        <f t="shared" si="198"/>
        <v>0</v>
      </c>
      <c r="AI49" s="108">
        <f ca="1">IF(OR(Z49&lt;&gt;"",AB49&lt;&gt;""),RANK(AH49,AH$11:INDIRECT(AH$7,FALSE)),"")</f>
      </c>
      <c r="AJ49" s="109"/>
      <c r="AK49" s="4"/>
      <c r="AL49" s="103">
        <f t="shared" si="199"/>
      </c>
      <c r="AM49" s="20"/>
      <c r="AN49" s="104">
        <f t="shared" si="200"/>
      </c>
      <c r="AO49" s="104">
        <f t="shared" si="201"/>
        <v>0</v>
      </c>
      <c r="AP49" s="105">
        <f ca="1">IF(OR(AK49&lt;&gt;"",AM49&lt;&gt;""),RANK(AO49,AO$11:INDIRECT(AO$7,FALSE)),"")</f>
      </c>
      <c r="AQ49" s="106"/>
      <c r="AR49" s="107">
        <f t="shared" si="160"/>
      </c>
      <c r="AS49" s="110">
        <f>IF(AND($F$8&lt;3,AR49&lt;&gt;""),HLOOKUP(MATCH(EQ49,EZ49:FA49,0),Discards,1,FALSE),"")</f>
      </c>
      <c r="AT49" s="107">
        <f t="shared" si="161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2"/>
      </c>
      <c r="AY49" s="20"/>
      <c r="AZ49" s="104">
        <f t="shared" si="202"/>
      </c>
      <c r="BA49" s="104">
        <f t="shared" si="203"/>
        <v>0</v>
      </c>
      <c r="BB49" s="105">
        <f ca="1">IF(OR(AW49&lt;&gt;"",AY49&lt;&gt;""),RANK(BA49,BA$11:INDIRECT(BA$7,FALSE)),"")</f>
      </c>
      <c r="BC49" s="106"/>
      <c r="BD49" s="107">
        <f t="shared" si="163"/>
      </c>
      <c r="BE49" s="110">
        <f>IF(AND($F$8&lt;4,BD49&lt;&gt;""),HLOOKUP(MATCH(ER49,EZ49:FB49,0),Discards,1,FALSE),"")</f>
      </c>
      <c r="BF49" s="107">
        <f t="shared" si="204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4"/>
      </c>
      <c r="BK49" s="20"/>
      <c r="BL49" s="104">
        <f t="shared" si="205"/>
      </c>
      <c r="BM49" s="104">
        <f t="shared" si="206"/>
        <v>0</v>
      </c>
      <c r="BN49" s="105">
        <f ca="1">IF(OR(BI49&lt;&gt;"",BK49&lt;&gt;""),RANK(BM49,BM$11:INDIRECT(BM$7,FALSE)),"")</f>
      </c>
      <c r="BO49" s="106"/>
      <c r="BP49" s="107">
        <f t="shared" si="165"/>
      </c>
      <c r="BQ49" s="110">
        <f>IF(AND($F$8&lt;5,BP49&lt;&gt;""),HLOOKUP(MATCH(ES49,EZ49:FC49,0),Discards,1,FALSE),"")</f>
      </c>
      <c r="BR49" s="107">
        <f t="shared" si="207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6"/>
      </c>
      <c r="BW49" s="20"/>
      <c r="BX49" s="104">
        <f t="shared" si="208"/>
      </c>
      <c r="BY49" s="104">
        <f t="shared" si="209"/>
        <v>0</v>
      </c>
      <c r="BZ49" s="105">
        <f ca="1">IF(OR(BU49&lt;&gt;"",BW49&lt;&gt;""),RANK(BY49,BY$11:INDIRECT(BY$7,FALSE)),"")</f>
      </c>
      <c r="CA49" s="106"/>
      <c r="CB49" s="107">
        <f t="shared" si="167"/>
      </c>
      <c r="CC49" s="110">
        <f>IF(AND($F$8&lt;6,CB49&lt;&gt;""),HLOOKUP(MATCH(ET49,EZ49:FD49,0),Discards,1,FALSE),"")</f>
      </c>
      <c r="CD49" s="107">
        <f t="shared" si="210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8"/>
      </c>
      <c r="CI49" s="20"/>
      <c r="CJ49" s="104">
        <f t="shared" si="211"/>
      </c>
      <c r="CK49" s="104">
        <f t="shared" si="212"/>
        <v>0</v>
      </c>
      <c r="CL49" s="105">
        <f ca="1">IF(OR(CG49&lt;&gt;"",CI49&lt;&gt;""),RANK(CK49,CK$11:INDIRECT(CK$7,FALSE)),"")</f>
      </c>
      <c r="CM49" s="106"/>
      <c r="CN49" s="107">
        <f t="shared" si="169"/>
      </c>
      <c r="CO49" s="110">
        <f>IF(AND($F$8&lt;7,CN49&lt;&gt;""),HLOOKUP(MATCH(EU49,EZ49:FE49,0),Discards,1,FALSE),"")</f>
      </c>
      <c r="CP49" s="107">
        <f t="shared" si="213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0"/>
      </c>
      <c r="CU49" s="20"/>
      <c r="CV49" s="104">
        <f t="shared" si="214"/>
      </c>
      <c r="CW49" s="104">
        <f t="shared" si="215"/>
        <v>0</v>
      </c>
      <c r="CX49" s="105">
        <f ca="1">IF(OR(CS49&lt;&gt;"",CU49&lt;&gt;""),RANK(CW49,CW$11:INDIRECT(CW$7,FALSE)),"")</f>
      </c>
      <c r="CY49" s="106"/>
      <c r="CZ49" s="107">
        <f t="shared" si="171"/>
      </c>
      <c r="DA49" s="110">
        <f>IF(AND($F$8&lt;8,CZ49&lt;&gt;""),HLOOKUP(MATCH(EV49,EZ49:FF49,0),Discards,1,FALSE),"")</f>
      </c>
      <c r="DB49" s="107">
        <f t="shared" si="216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2"/>
      </c>
      <c r="DG49" s="20"/>
      <c r="DH49" s="104">
        <f t="shared" si="217"/>
      </c>
      <c r="DI49" s="104">
        <f t="shared" si="218"/>
        <v>0</v>
      </c>
      <c r="DJ49" s="105">
        <f ca="1">IF(OR(DE49&lt;&gt;"",DG49&lt;&gt;""),RANK(DI49,DI$11:INDIRECT(DI$7,FALSE)),"")</f>
      </c>
      <c r="DK49" s="106"/>
      <c r="DL49" s="107">
        <f t="shared" si="173"/>
      </c>
      <c r="DM49" s="110">
        <f>IF(AND($F$8&lt;9,DL49&lt;&gt;""),HLOOKUP(MATCH(EW49,EZ49:FG49,0),Discards,1,FALSE),"")</f>
      </c>
      <c r="DN49" s="107">
        <f t="shared" si="219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4"/>
      </c>
      <c r="DS49" s="20"/>
      <c r="DT49" s="104">
        <f t="shared" si="220"/>
      </c>
      <c r="DU49" s="104">
        <f t="shared" si="221"/>
        <v>0</v>
      </c>
      <c r="DV49" s="105">
        <f ca="1">IF(OR(DQ49&lt;&gt;"",DS49&lt;&gt;""),RANK(DU49,DU$11:INDIRECT(DU$7,FALSE)),"")</f>
      </c>
      <c r="DW49" s="106"/>
      <c r="DX49" s="107">
        <f t="shared" si="175"/>
      </c>
      <c r="DY49" s="110">
        <f>IF(AND($F$8&lt;10,DX49&lt;&gt;""),HLOOKUP(MATCH(EX49,EZ49:FH49,0),Discards,1,FALSE),"")</f>
      </c>
      <c r="DZ49" s="107">
        <f t="shared" si="222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6"/>
      </c>
      <c r="EE49" s="20"/>
      <c r="EF49" s="104">
        <f t="shared" si="223"/>
      </c>
      <c r="EG49" s="104">
        <f t="shared" si="224"/>
        <v>0</v>
      </c>
      <c r="EH49" s="105">
        <f ca="1">IF(OR(EC49&lt;&gt;"",EE49&lt;&gt;""),RANK(EG49,EG$11:INDIRECT(EG$7,FALSE)),"")</f>
      </c>
      <c r="EI49" s="106"/>
      <c r="EJ49" s="107">
        <f t="shared" si="177"/>
      </c>
      <c r="EK49" s="110">
        <f>IF(AND($F$8&lt;11,EJ49&lt;&gt;""),HLOOKUP(MATCH(EY49,EZ49:FI49,0),Discards,1,FALSE),"")</f>
      </c>
      <c r="EL49" s="107">
        <f t="shared" si="225"/>
        <v>0</v>
      </c>
      <c r="EM49" s="108">
        <f ca="1">IF(OR(EC49&lt;&gt;"",EE49&lt;&gt;""),RANK(EL49,EL$11:INDIRECT(EL$7,FALSE)),"")</f>
      </c>
      <c r="EN49" s="111"/>
      <c r="EP49" s="112">
        <f t="shared" si="247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8"/>
      </c>
      <c r="FA49" s="28">
        <f t="shared" si="179"/>
      </c>
      <c r="FB49" s="28">
        <f t="shared" si="180"/>
      </c>
      <c r="FC49" s="28">
        <f t="shared" si="181"/>
      </c>
      <c r="FD49" s="28">
        <f t="shared" si="182"/>
      </c>
      <c r="FE49" s="28">
        <f t="shared" si="183"/>
      </c>
      <c r="FF49" s="28">
        <f t="shared" si="184"/>
      </c>
      <c r="FG49" s="28">
        <f t="shared" si="185"/>
      </c>
      <c r="FH49" s="28">
        <f t="shared" si="186"/>
      </c>
      <c r="FI49" s="28">
        <f t="shared" si="187"/>
      </c>
      <c r="FL49" s="26">
        <f t="shared" si="226"/>
        <v>255000000</v>
      </c>
      <c r="FM49" s="26">
        <f t="shared" si="227"/>
        <v>255000</v>
      </c>
      <c r="FN49" s="26">
        <f t="shared" si="228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29"/>
        <v>0</v>
      </c>
      <c r="FR49" s="26">
        <f t="shared" si="230"/>
        <v>0</v>
      </c>
      <c r="FS49" s="26">
        <f t="shared" si="231"/>
        <v>0</v>
      </c>
      <c r="FT49" s="26">
        <f t="shared" si="232"/>
      </c>
      <c r="FU49" s="26">
        <f t="shared" si="233"/>
        <v>24</v>
      </c>
      <c r="FV49" s="28">
        <f t="shared" si="248"/>
      </c>
      <c r="FW49" s="26">
        <f t="shared" si="246"/>
      </c>
      <c r="FX49" s="28">
        <f t="shared" si="234"/>
      </c>
      <c r="FY49" s="26">
        <f ca="1">IF(FX49&lt;&gt;"",RANK(FX49,FX$11:INDIRECT(FX$7,FALSE)),"")</f>
      </c>
      <c r="FZ49" s="26">
        <f t="shared" si="235"/>
      </c>
      <c r="GA49" s="26">
        <f t="shared" si="81"/>
      </c>
      <c r="GC49" s="27">
        <f t="shared" si="188"/>
      </c>
      <c r="GD49" s="27">
        <f t="shared" si="189"/>
      </c>
      <c r="GE49" s="27">
        <f t="shared" si="236"/>
      </c>
      <c r="GF49" s="27">
        <f t="shared" si="237"/>
      </c>
      <c r="GG49" s="27">
        <f t="shared" si="238"/>
        <v>0</v>
      </c>
      <c r="GH49" s="26">
        <f t="shared" si="239"/>
        <v>0</v>
      </c>
      <c r="GI49" s="26">
        <f t="shared" si="240"/>
        <v>0</v>
      </c>
      <c r="GJ49" s="26">
        <f t="shared" si="241"/>
        <v>0</v>
      </c>
      <c r="GK49" s="26">
        <f t="shared" si="242"/>
      </c>
      <c r="GL49" s="28">
        <f t="shared" si="243"/>
      </c>
      <c r="GM49" s="26">
        <f t="shared" si="244"/>
      </c>
    </row>
    <row r="50" spans="1:195" ht="12.75">
      <c r="A50" s="132">
        <f t="shared" si="245"/>
        <v>40</v>
      </c>
      <c r="B50" s="133"/>
      <c r="C50" s="134"/>
      <c r="D50" s="135"/>
      <c r="E50" s="134"/>
      <c r="F50" s="134" t="s">
        <v>19</v>
      </c>
      <c r="G50" s="149"/>
      <c r="H50" s="136">
        <f t="shared" si="190"/>
      </c>
      <c r="I50" s="137">
        <f t="shared" si="191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2"/>
      </c>
      <c r="M50" s="137">
        <f t="shared" si="193"/>
        <v>0</v>
      </c>
      <c r="N50" s="138">
        <f t="shared" si="159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4"/>
      </c>
      <c r="AB50" s="21"/>
      <c r="AC50" s="114">
        <f t="shared" si="195"/>
      </c>
      <c r="AD50" s="114">
        <f t="shared" si="196"/>
        <v>0</v>
      </c>
      <c r="AE50" s="115">
        <f ca="1">IF(OR(Z50&lt;&gt;"",AB50&lt;&gt;""),RANK(AD50,AD$11:INDIRECT(AD$7,FALSE)),"")</f>
      </c>
      <c r="AF50" s="116"/>
      <c r="AG50" s="117">
        <f t="shared" si="197"/>
      </c>
      <c r="AH50" s="117">
        <f t="shared" si="198"/>
        <v>0</v>
      </c>
      <c r="AI50" s="118">
        <f ca="1">IF(OR(Z50&lt;&gt;"",AB50&lt;&gt;""),RANK(AH50,AH$11:INDIRECT(AH$7,FALSE)),"")</f>
      </c>
      <c r="AJ50" s="119"/>
      <c r="AK50" s="5"/>
      <c r="AL50" s="113">
        <f t="shared" si="199"/>
      </c>
      <c r="AM50" s="21"/>
      <c r="AN50" s="114">
        <f t="shared" si="200"/>
      </c>
      <c r="AO50" s="114">
        <f t="shared" si="201"/>
        <v>0</v>
      </c>
      <c r="AP50" s="115">
        <f ca="1">IF(OR(AK50&lt;&gt;"",AM50&lt;&gt;""),RANK(AO50,AO$11:INDIRECT(AO$7,FALSE)),"")</f>
      </c>
      <c r="AQ50" s="116"/>
      <c r="AR50" s="117">
        <f t="shared" si="160"/>
      </c>
      <c r="AS50" s="120">
        <f>IF(AND($F$8&lt;3,AR50&lt;&gt;""),HLOOKUP(MATCH(EQ50,EZ50:FA50,0),Discards,1,FALSE),"")</f>
      </c>
      <c r="AT50" s="117">
        <f t="shared" si="161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2"/>
      </c>
      <c r="AY50" s="21"/>
      <c r="AZ50" s="114">
        <f t="shared" si="202"/>
      </c>
      <c r="BA50" s="114">
        <f t="shared" si="203"/>
        <v>0</v>
      </c>
      <c r="BB50" s="115">
        <f ca="1">IF(OR(AW50&lt;&gt;"",AY50&lt;&gt;""),RANK(BA50,BA$11:INDIRECT(BA$7,FALSE)),"")</f>
      </c>
      <c r="BC50" s="116"/>
      <c r="BD50" s="117">
        <f t="shared" si="163"/>
      </c>
      <c r="BE50" s="120">
        <f>IF(AND($F$8&lt;4,BD50&lt;&gt;""),HLOOKUP(MATCH(ER50,EZ50:FB50,0),Discards,1,FALSE),"")</f>
      </c>
      <c r="BF50" s="117">
        <f t="shared" si="204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4"/>
      </c>
      <c r="BK50" s="21"/>
      <c r="BL50" s="114">
        <f t="shared" si="205"/>
      </c>
      <c r="BM50" s="114">
        <f t="shared" si="206"/>
        <v>0</v>
      </c>
      <c r="BN50" s="115">
        <f ca="1">IF(OR(BI50&lt;&gt;"",BK50&lt;&gt;""),RANK(BM50,BM$11:INDIRECT(BM$7,FALSE)),"")</f>
      </c>
      <c r="BO50" s="116"/>
      <c r="BP50" s="117">
        <f t="shared" si="165"/>
      </c>
      <c r="BQ50" s="120">
        <f>IF(AND($F$8&lt;5,BP50&lt;&gt;""),HLOOKUP(MATCH(ES50,EZ50:FC50,0),Discards,1,FALSE),"")</f>
      </c>
      <c r="BR50" s="117">
        <f t="shared" si="207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6"/>
      </c>
      <c r="BW50" s="21"/>
      <c r="BX50" s="114">
        <f t="shared" si="208"/>
      </c>
      <c r="BY50" s="114">
        <f t="shared" si="209"/>
        <v>0</v>
      </c>
      <c r="BZ50" s="115">
        <f ca="1">IF(OR(BU50&lt;&gt;"",BW50&lt;&gt;""),RANK(BY50,BY$11:INDIRECT(BY$7,FALSE)),"")</f>
      </c>
      <c r="CA50" s="116"/>
      <c r="CB50" s="117">
        <f t="shared" si="167"/>
      </c>
      <c r="CC50" s="120">
        <f>IF(AND($F$8&lt;6,CB50&lt;&gt;""),HLOOKUP(MATCH(ET50,EZ50:FD50,0),Discards,1,FALSE),"")</f>
      </c>
      <c r="CD50" s="117">
        <f t="shared" si="210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8"/>
      </c>
      <c r="CI50" s="21"/>
      <c r="CJ50" s="114">
        <f t="shared" si="211"/>
      </c>
      <c r="CK50" s="114">
        <f t="shared" si="212"/>
        <v>0</v>
      </c>
      <c r="CL50" s="115">
        <f ca="1">IF(OR(CG50&lt;&gt;"",CI50&lt;&gt;""),RANK(CK50,CK$11:INDIRECT(CK$7,FALSE)),"")</f>
      </c>
      <c r="CM50" s="116"/>
      <c r="CN50" s="117">
        <f t="shared" si="169"/>
      </c>
      <c r="CO50" s="120">
        <f>IF(AND($F$8&lt;7,CN50&lt;&gt;""),HLOOKUP(MATCH(EU50,EZ50:FE50,0),Discards,1,FALSE),"")</f>
      </c>
      <c r="CP50" s="117">
        <f t="shared" si="213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0"/>
      </c>
      <c r="CU50" s="21"/>
      <c r="CV50" s="114">
        <f t="shared" si="214"/>
      </c>
      <c r="CW50" s="114">
        <f t="shared" si="215"/>
        <v>0</v>
      </c>
      <c r="CX50" s="115">
        <f ca="1">IF(OR(CS50&lt;&gt;"",CU50&lt;&gt;""),RANK(CW50,CW$11:INDIRECT(CW$7,FALSE)),"")</f>
      </c>
      <c r="CY50" s="116"/>
      <c r="CZ50" s="117">
        <f t="shared" si="171"/>
      </c>
      <c r="DA50" s="120">
        <f>IF(AND($F$8&lt;8,CZ50&lt;&gt;""),HLOOKUP(MATCH(EV50,EZ50:FF50,0),Discards,1,FALSE),"")</f>
      </c>
      <c r="DB50" s="117">
        <f t="shared" si="216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2"/>
      </c>
      <c r="DG50" s="21"/>
      <c r="DH50" s="114">
        <f t="shared" si="217"/>
      </c>
      <c r="DI50" s="114">
        <f t="shared" si="218"/>
        <v>0</v>
      </c>
      <c r="DJ50" s="115">
        <f ca="1">IF(OR(DE50&lt;&gt;"",DG50&lt;&gt;""),RANK(DI50,DI$11:INDIRECT(DI$7,FALSE)),"")</f>
      </c>
      <c r="DK50" s="116"/>
      <c r="DL50" s="117">
        <f t="shared" si="173"/>
      </c>
      <c r="DM50" s="120">
        <f>IF(AND($F$8&lt;9,DL50&lt;&gt;""),HLOOKUP(MATCH(EW50,EZ50:FG50,0),Discards,1,FALSE),"")</f>
      </c>
      <c r="DN50" s="117">
        <f t="shared" si="219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4"/>
      </c>
      <c r="DS50" s="21"/>
      <c r="DT50" s="114">
        <f t="shared" si="220"/>
      </c>
      <c r="DU50" s="114">
        <f t="shared" si="221"/>
        <v>0</v>
      </c>
      <c r="DV50" s="115">
        <f ca="1">IF(OR(DQ50&lt;&gt;"",DS50&lt;&gt;""),RANK(DU50,DU$11:INDIRECT(DU$7,FALSE)),"")</f>
      </c>
      <c r="DW50" s="116"/>
      <c r="DX50" s="117">
        <f t="shared" si="175"/>
      </c>
      <c r="DY50" s="120">
        <f>IF(AND($F$8&lt;10,DX50&lt;&gt;""),HLOOKUP(MATCH(EX50,EZ50:FH50,0),Discards,1,FALSE),"")</f>
      </c>
      <c r="DZ50" s="117">
        <f t="shared" si="222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6"/>
      </c>
      <c r="EE50" s="21"/>
      <c r="EF50" s="114">
        <f t="shared" si="223"/>
      </c>
      <c r="EG50" s="114">
        <f t="shared" si="224"/>
        <v>0</v>
      </c>
      <c r="EH50" s="115">
        <f ca="1">IF(OR(EC50&lt;&gt;"",EE50&lt;&gt;""),RANK(EG50,EG$11:INDIRECT(EG$7,FALSE)),"")</f>
      </c>
      <c r="EI50" s="116"/>
      <c r="EJ50" s="117">
        <f t="shared" si="177"/>
      </c>
      <c r="EK50" s="120">
        <f>IF(AND($F$8&lt;11,EJ50&lt;&gt;""),HLOOKUP(MATCH(EY50,EZ50:FI50,0),Discards,1,FALSE),"")</f>
      </c>
      <c r="EL50" s="117">
        <f t="shared" si="225"/>
        <v>0</v>
      </c>
      <c r="EM50" s="118">
        <f ca="1">IF(OR(EC50&lt;&gt;"",EE50&lt;&gt;""),RANK(EL50,EL$11:INDIRECT(EL$7,FALSE)),"")</f>
      </c>
      <c r="EN50" s="121"/>
      <c r="EP50" s="112">
        <f t="shared" si="247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8"/>
      </c>
      <c r="FA50" s="28">
        <f t="shared" si="179"/>
      </c>
      <c r="FB50" s="28">
        <f t="shared" si="180"/>
      </c>
      <c r="FC50" s="28">
        <f t="shared" si="181"/>
      </c>
      <c r="FD50" s="28">
        <f t="shared" si="182"/>
      </c>
      <c r="FE50" s="28">
        <f t="shared" si="183"/>
      </c>
      <c r="FF50" s="28">
        <f t="shared" si="184"/>
      </c>
      <c r="FG50" s="28">
        <f t="shared" si="185"/>
      </c>
      <c r="FH50" s="28">
        <f t="shared" si="186"/>
      </c>
      <c r="FI50" s="28">
        <f t="shared" si="187"/>
      </c>
      <c r="FL50" s="26">
        <f t="shared" si="226"/>
        <v>255000000</v>
      </c>
      <c r="FM50" s="26">
        <f t="shared" si="227"/>
        <v>255000</v>
      </c>
      <c r="FN50" s="26">
        <f t="shared" si="228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29"/>
        <v>0</v>
      </c>
      <c r="FR50" s="26">
        <f t="shared" si="230"/>
        <v>0</v>
      </c>
      <c r="FS50" s="26">
        <f t="shared" si="231"/>
        <v>0</v>
      </c>
      <c r="FT50" s="26">
        <f t="shared" si="232"/>
      </c>
      <c r="FU50" s="26">
        <f t="shared" si="233"/>
        <v>24</v>
      </c>
      <c r="FV50" s="28">
        <f t="shared" si="248"/>
      </c>
      <c r="FW50" s="26">
        <f t="shared" si="246"/>
      </c>
      <c r="FX50" s="28">
        <f t="shared" si="234"/>
      </c>
      <c r="FY50" s="26">
        <f ca="1">IF(FX50&lt;&gt;"",RANK(FX50,FX$11:INDIRECT(FX$7,FALSE)),"")</f>
      </c>
      <c r="FZ50" s="26">
        <f t="shared" si="235"/>
      </c>
      <c r="GA50" s="26">
        <f t="shared" si="81"/>
      </c>
      <c r="GC50" s="27">
        <f t="shared" si="188"/>
      </c>
      <c r="GD50" s="27">
        <f t="shared" si="189"/>
      </c>
      <c r="GE50" s="27">
        <f t="shared" si="236"/>
      </c>
      <c r="GF50" s="27">
        <f t="shared" si="237"/>
      </c>
      <c r="GG50" s="27">
        <f t="shared" si="238"/>
        <v>0</v>
      </c>
      <c r="GH50" s="26">
        <f t="shared" si="239"/>
        <v>0</v>
      </c>
      <c r="GI50" s="26">
        <f t="shared" si="240"/>
        <v>0</v>
      </c>
      <c r="GJ50" s="26">
        <f t="shared" si="241"/>
        <v>0</v>
      </c>
      <c r="GK50" s="26">
        <f t="shared" si="242"/>
      </c>
      <c r="GL50" s="28">
        <f t="shared" si="243"/>
      </c>
      <c r="GM50" s="26">
        <f t="shared" si="244"/>
      </c>
    </row>
    <row r="51" spans="1:195" ht="12.75">
      <c r="A51" s="132">
        <f t="shared" si="245"/>
        <v>41</v>
      </c>
      <c r="B51" s="133"/>
      <c r="C51" s="134"/>
      <c r="D51" s="135"/>
      <c r="E51" s="134"/>
      <c r="F51" s="134" t="s">
        <v>19</v>
      </c>
      <c r="G51" s="149"/>
      <c r="H51" s="136">
        <f t="shared" si="190"/>
      </c>
      <c r="I51" s="137">
        <f t="shared" si="191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2"/>
      </c>
      <c r="M51" s="137">
        <f t="shared" si="193"/>
        <v>0</v>
      </c>
      <c r="N51" s="138">
        <f t="shared" si="159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4"/>
      </c>
      <c r="AB51" s="21"/>
      <c r="AC51" s="114">
        <f t="shared" si="195"/>
      </c>
      <c r="AD51" s="114">
        <f t="shared" si="196"/>
        <v>0</v>
      </c>
      <c r="AE51" s="115">
        <f ca="1">IF(OR(Z51&lt;&gt;"",AB51&lt;&gt;""),RANK(AD51,AD$11:INDIRECT(AD$7,FALSE)),"")</f>
      </c>
      <c r="AF51" s="116"/>
      <c r="AG51" s="117">
        <f t="shared" si="197"/>
      </c>
      <c r="AH51" s="117">
        <f t="shared" si="198"/>
        <v>0</v>
      </c>
      <c r="AI51" s="118">
        <f ca="1">IF(OR(Z51&lt;&gt;"",AB51&lt;&gt;""),RANK(AH51,AH$11:INDIRECT(AH$7,FALSE)),"")</f>
      </c>
      <c r="AJ51" s="119"/>
      <c r="AK51" s="5"/>
      <c r="AL51" s="113">
        <f t="shared" si="199"/>
      </c>
      <c r="AM51" s="21"/>
      <c r="AN51" s="114">
        <f t="shared" si="200"/>
      </c>
      <c r="AO51" s="114">
        <f t="shared" si="201"/>
        <v>0</v>
      </c>
      <c r="AP51" s="115">
        <f ca="1">IF(OR(AK51&lt;&gt;"",AM51&lt;&gt;""),RANK(AO51,AO$11:INDIRECT(AO$7,FALSE)),"")</f>
      </c>
      <c r="AQ51" s="116"/>
      <c r="AR51" s="117">
        <f t="shared" si="160"/>
      </c>
      <c r="AS51" s="120">
        <f>IF(AND($F$8&lt;3,AR51&lt;&gt;""),HLOOKUP(MATCH(EQ51,EZ51:FA51,0),Discards,1,FALSE),"")</f>
      </c>
      <c r="AT51" s="117">
        <f t="shared" si="161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2"/>
      </c>
      <c r="AY51" s="21"/>
      <c r="AZ51" s="114">
        <f t="shared" si="202"/>
      </c>
      <c r="BA51" s="114">
        <f t="shared" si="203"/>
        <v>0</v>
      </c>
      <c r="BB51" s="115">
        <f ca="1">IF(OR(AW51&lt;&gt;"",AY51&lt;&gt;""),RANK(BA51,BA$11:INDIRECT(BA$7,FALSE)),"")</f>
      </c>
      <c r="BC51" s="116"/>
      <c r="BD51" s="117">
        <f t="shared" si="163"/>
      </c>
      <c r="BE51" s="120">
        <f>IF(AND($F$8&lt;4,BD51&lt;&gt;""),HLOOKUP(MATCH(ER51,EZ51:FB51,0),Discards,1,FALSE),"")</f>
      </c>
      <c r="BF51" s="117">
        <f t="shared" si="204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4"/>
      </c>
      <c r="BK51" s="21"/>
      <c r="BL51" s="114">
        <f t="shared" si="205"/>
      </c>
      <c r="BM51" s="114">
        <f t="shared" si="206"/>
        <v>0</v>
      </c>
      <c r="BN51" s="115">
        <f ca="1">IF(OR(BI51&lt;&gt;"",BK51&lt;&gt;""),RANK(BM51,BM$11:INDIRECT(BM$7,FALSE)),"")</f>
      </c>
      <c r="BO51" s="116"/>
      <c r="BP51" s="117">
        <f t="shared" si="165"/>
      </c>
      <c r="BQ51" s="120">
        <f>IF(AND($F$8&lt;5,BP51&lt;&gt;""),HLOOKUP(MATCH(ES51,EZ51:FC51,0),Discards,1,FALSE),"")</f>
      </c>
      <c r="BR51" s="117">
        <f t="shared" si="207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6"/>
      </c>
      <c r="BW51" s="21"/>
      <c r="BX51" s="114">
        <f t="shared" si="208"/>
      </c>
      <c r="BY51" s="114">
        <f t="shared" si="209"/>
        <v>0</v>
      </c>
      <c r="BZ51" s="115">
        <f ca="1">IF(OR(BU51&lt;&gt;"",BW51&lt;&gt;""),RANK(BY51,BY$11:INDIRECT(BY$7,FALSE)),"")</f>
      </c>
      <c r="CA51" s="116"/>
      <c r="CB51" s="117">
        <f t="shared" si="167"/>
      </c>
      <c r="CC51" s="120">
        <f>IF(AND($F$8&lt;6,CB51&lt;&gt;""),HLOOKUP(MATCH(ET51,EZ51:FD51,0),Discards,1,FALSE),"")</f>
      </c>
      <c r="CD51" s="117">
        <f t="shared" si="210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8"/>
      </c>
      <c r="CI51" s="21"/>
      <c r="CJ51" s="114">
        <f t="shared" si="211"/>
      </c>
      <c r="CK51" s="114">
        <f t="shared" si="212"/>
        <v>0</v>
      </c>
      <c r="CL51" s="115">
        <f ca="1">IF(OR(CG51&lt;&gt;"",CI51&lt;&gt;""),RANK(CK51,CK$11:INDIRECT(CK$7,FALSE)),"")</f>
      </c>
      <c r="CM51" s="116"/>
      <c r="CN51" s="117">
        <f t="shared" si="169"/>
      </c>
      <c r="CO51" s="120">
        <f>IF(AND($F$8&lt;7,CN51&lt;&gt;""),HLOOKUP(MATCH(EU51,EZ51:FE51,0),Discards,1,FALSE),"")</f>
      </c>
      <c r="CP51" s="117">
        <f t="shared" si="213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0"/>
      </c>
      <c r="CU51" s="21"/>
      <c r="CV51" s="114">
        <f t="shared" si="214"/>
      </c>
      <c r="CW51" s="114">
        <f t="shared" si="215"/>
        <v>0</v>
      </c>
      <c r="CX51" s="115">
        <f ca="1">IF(OR(CS51&lt;&gt;"",CU51&lt;&gt;""),RANK(CW51,CW$11:INDIRECT(CW$7,FALSE)),"")</f>
      </c>
      <c r="CY51" s="116"/>
      <c r="CZ51" s="117">
        <f t="shared" si="171"/>
      </c>
      <c r="DA51" s="120">
        <f>IF(AND($F$8&lt;8,CZ51&lt;&gt;""),HLOOKUP(MATCH(EV51,EZ51:FF51,0),Discards,1,FALSE),"")</f>
      </c>
      <c r="DB51" s="117">
        <f t="shared" si="216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2"/>
      </c>
      <c r="DG51" s="21"/>
      <c r="DH51" s="114">
        <f t="shared" si="217"/>
      </c>
      <c r="DI51" s="114">
        <f t="shared" si="218"/>
        <v>0</v>
      </c>
      <c r="DJ51" s="115">
        <f ca="1">IF(OR(DE51&lt;&gt;"",DG51&lt;&gt;""),RANK(DI51,DI$11:INDIRECT(DI$7,FALSE)),"")</f>
      </c>
      <c r="DK51" s="116"/>
      <c r="DL51" s="117">
        <f t="shared" si="173"/>
      </c>
      <c r="DM51" s="120">
        <f>IF(AND($F$8&lt;9,DL51&lt;&gt;""),HLOOKUP(MATCH(EW51,EZ51:FG51,0),Discards,1,FALSE),"")</f>
      </c>
      <c r="DN51" s="117">
        <f t="shared" si="219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4"/>
      </c>
      <c r="DS51" s="21"/>
      <c r="DT51" s="114">
        <f t="shared" si="220"/>
      </c>
      <c r="DU51" s="114">
        <f t="shared" si="221"/>
        <v>0</v>
      </c>
      <c r="DV51" s="115">
        <f ca="1">IF(OR(DQ51&lt;&gt;"",DS51&lt;&gt;""),RANK(DU51,DU$11:INDIRECT(DU$7,FALSE)),"")</f>
      </c>
      <c r="DW51" s="116"/>
      <c r="DX51" s="117">
        <f t="shared" si="175"/>
      </c>
      <c r="DY51" s="120">
        <f>IF(AND($F$8&lt;10,DX51&lt;&gt;""),HLOOKUP(MATCH(EX51,EZ51:FH51,0),Discards,1,FALSE),"")</f>
      </c>
      <c r="DZ51" s="117">
        <f t="shared" si="222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6"/>
      </c>
      <c r="EE51" s="21"/>
      <c r="EF51" s="114">
        <f t="shared" si="223"/>
      </c>
      <c r="EG51" s="114">
        <f t="shared" si="224"/>
        <v>0</v>
      </c>
      <c r="EH51" s="115">
        <f ca="1">IF(OR(EC51&lt;&gt;"",EE51&lt;&gt;""),RANK(EG51,EG$11:INDIRECT(EG$7,FALSE)),"")</f>
      </c>
      <c r="EI51" s="116"/>
      <c r="EJ51" s="117">
        <f t="shared" si="177"/>
      </c>
      <c r="EK51" s="120">
        <f>IF(AND($F$8&lt;11,EJ51&lt;&gt;""),HLOOKUP(MATCH(EY51,EZ51:FI51,0),Discards,1,FALSE),"")</f>
      </c>
      <c r="EL51" s="117">
        <f t="shared" si="225"/>
        <v>0</v>
      </c>
      <c r="EM51" s="118">
        <f ca="1">IF(OR(EC51&lt;&gt;"",EE51&lt;&gt;""),RANK(EL51,EL$11:INDIRECT(EL$7,FALSE)),"")</f>
      </c>
      <c r="EN51" s="121"/>
      <c r="EP51" s="112">
        <f t="shared" si="247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8"/>
      </c>
      <c r="FA51" s="28">
        <f t="shared" si="179"/>
      </c>
      <c r="FB51" s="28">
        <f t="shared" si="180"/>
      </c>
      <c r="FC51" s="28">
        <f t="shared" si="181"/>
      </c>
      <c r="FD51" s="28">
        <f t="shared" si="182"/>
      </c>
      <c r="FE51" s="28">
        <f t="shared" si="183"/>
      </c>
      <c r="FF51" s="28">
        <f t="shared" si="184"/>
      </c>
      <c r="FG51" s="28">
        <f t="shared" si="185"/>
      </c>
      <c r="FH51" s="28">
        <f t="shared" si="186"/>
      </c>
      <c r="FI51" s="28">
        <f t="shared" si="187"/>
      </c>
      <c r="FL51" s="26">
        <f t="shared" si="226"/>
        <v>255000000</v>
      </c>
      <c r="FM51" s="26">
        <f t="shared" si="227"/>
        <v>255000</v>
      </c>
      <c r="FN51" s="26">
        <f t="shared" si="228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29"/>
        <v>0</v>
      </c>
      <c r="FR51" s="26">
        <f t="shared" si="230"/>
        <v>0</v>
      </c>
      <c r="FS51" s="26">
        <f t="shared" si="231"/>
        <v>0</v>
      </c>
      <c r="FT51" s="26">
        <f t="shared" si="232"/>
      </c>
      <c r="FU51" s="26">
        <f t="shared" si="233"/>
        <v>24</v>
      </c>
      <c r="FV51" s="28">
        <f t="shared" si="248"/>
      </c>
      <c r="FW51" s="26">
        <f t="shared" si="246"/>
      </c>
      <c r="FX51" s="28">
        <f t="shared" si="234"/>
      </c>
      <c r="FY51" s="26">
        <f ca="1">IF(FX51&lt;&gt;"",RANK(FX51,FX$11:INDIRECT(FX$7,FALSE)),"")</f>
      </c>
      <c r="FZ51" s="26">
        <f t="shared" si="235"/>
      </c>
      <c r="GA51" s="26">
        <f t="shared" si="81"/>
      </c>
      <c r="GC51" s="27">
        <f t="shared" si="188"/>
      </c>
      <c r="GD51" s="27">
        <f t="shared" si="189"/>
      </c>
      <c r="GE51" s="27">
        <f t="shared" si="236"/>
      </c>
      <c r="GF51" s="27">
        <f t="shared" si="237"/>
      </c>
      <c r="GG51" s="27">
        <f t="shared" si="238"/>
        <v>0</v>
      </c>
      <c r="GH51" s="26">
        <f t="shared" si="239"/>
        <v>0</v>
      </c>
      <c r="GI51" s="26">
        <f t="shared" si="240"/>
        <v>0</v>
      </c>
      <c r="GJ51" s="26">
        <f t="shared" si="241"/>
        <v>0</v>
      </c>
      <c r="GK51" s="26">
        <f t="shared" si="242"/>
      </c>
      <c r="GL51" s="28">
        <f t="shared" si="243"/>
      </c>
      <c r="GM51" s="26">
        <f t="shared" si="244"/>
      </c>
    </row>
    <row r="52" spans="1:195" ht="12.75">
      <c r="A52" s="132">
        <f t="shared" si="245"/>
        <v>42</v>
      </c>
      <c r="B52" s="133"/>
      <c r="C52" s="134"/>
      <c r="D52" s="135"/>
      <c r="E52" s="134"/>
      <c r="F52" s="134" t="s">
        <v>19</v>
      </c>
      <c r="G52" s="149"/>
      <c r="H52" s="136">
        <f t="shared" si="190"/>
      </c>
      <c r="I52" s="137">
        <f t="shared" si="191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2"/>
      </c>
      <c r="M52" s="137">
        <f t="shared" si="193"/>
        <v>0</v>
      </c>
      <c r="N52" s="138">
        <f t="shared" si="159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4"/>
      </c>
      <c r="AB52" s="21"/>
      <c r="AC52" s="114">
        <f t="shared" si="195"/>
      </c>
      <c r="AD52" s="114">
        <f t="shared" si="196"/>
        <v>0</v>
      </c>
      <c r="AE52" s="115">
        <f ca="1">IF(OR(Z52&lt;&gt;"",AB52&lt;&gt;""),RANK(AD52,AD$11:INDIRECT(AD$7,FALSE)),"")</f>
      </c>
      <c r="AF52" s="116"/>
      <c r="AG52" s="117">
        <f t="shared" si="197"/>
      </c>
      <c r="AH52" s="117">
        <f t="shared" si="198"/>
        <v>0</v>
      </c>
      <c r="AI52" s="118">
        <f ca="1">IF(OR(Z52&lt;&gt;"",AB52&lt;&gt;""),RANK(AH52,AH$11:INDIRECT(AH$7,FALSE)),"")</f>
      </c>
      <c r="AJ52" s="119"/>
      <c r="AK52" s="5"/>
      <c r="AL52" s="113">
        <f t="shared" si="199"/>
      </c>
      <c r="AM52" s="21"/>
      <c r="AN52" s="114">
        <f t="shared" si="200"/>
      </c>
      <c r="AO52" s="114">
        <f t="shared" si="201"/>
        <v>0</v>
      </c>
      <c r="AP52" s="115">
        <f ca="1">IF(OR(AK52&lt;&gt;"",AM52&lt;&gt;""),RANK(AO52,AO$11:INDIRECT(AO$7,FALSE)),"")</f>
      </c>
      <c r="AQ52" s="116"/>
      <c r="AR52" s="117">
        <f t="shared" si="160"/>
      </c>
      <c r="AS52" s="120">
        <f>IF(AND($F$8&lt;3,AR52&lt;&gt;""),HLOOKUP(MATCH(EQ52,EZ52:FA52,0),Discards,1,FALSE),"")</f>
      </c>
      <c r="AT52" s="117">
        <f t="shared" si="161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2"/>
      </c>
      <c r="AY52" s="21"/>
      <c r="AZ52" s="114">
        <f t="shared" si="202"/>
      </c>
      <c r="BA52" s="114">
        <f t="shared" si="203"/>
        <v>0</v>
      </c>
      <c r="BB52" s="115">
        <f ca="1">IF(OR(AW52&lt;&gt;"",AY52&lt;&gt;""),RANK(BA52,BA$11:INDIRECT(BA$7,FALSE)),"")</f>
      </c>
      <c r="BC52" s="116"/>
      <c r="BD52" s="117">
        <f t="shared" si="163"/>
      </c>
      <c r="BE52" s="120">
        <f>IF(AND($F$8&lt;4,BD52&lt;&gt;""),HLOOKUP(MATCH(ER52,EZ52:FB52,0),Discards,1,FALSE),"")</f>
      </c>
      <c r="BF52" s="117">
        <f t="shared" si="204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4"/>
      </c>
      <c r="BK52" s="21"/>
      <c r="BL52" s="114">
        <f t="shared" si="205"/>
      </c>
      <c r="BM52" s="114">
        <f t="shared" si="206"/>
        <v>0</v>
      </c>
      <c r="BN52" s="115">
        <f ca="1">IF(OR(BI52&lt;&gt;"",BK52&lt;&gt;""),RANK(BM52,BM$11:INDIRECT(BM$7,FALSE)),"")</f>
      </c>
      <c r="BO52" s="116"/>
      <c r="BP52" s="117">
        <f t="shared" si="165"/>
      </c>
      <c r="BQ52" s="120">
        <f>IF(AND($F$8&lt;5,BP52&lt;&gt;""),HLOOKUP(MATCH(ES52,EZ52:FC52,0),Discards,1,FALSE),"")</f>
      </c>
      <c r="BR52" s="117">
        <f t="shared" si="207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6"/>
      </c>
      <c r="BW52" s="21"/>
      <c r="BX52" s="114">
        <f t="shared" si="208"/>
      </c>
      <c r="BY52" s="114">
        <f t="shared" si="209"/>
        <v>0</v>
      </c>
      <c r="BZ52" s="115">
        <f ca="1">IF(OR(BU52&lt;&gt;"",BW52&lt;&gt;""),RANK(BY52,BY$11:INDIRECT(BY$7,FALSE)),"")</f>
      </c>
      <c r="CA52" s="116"/>
      <c r="CB52" s="117">
        <f t="shared" si="167"/>
      </c>
      <c r="CC52" s="120">
        <f>IF(AND($F$8&lt;6,CB52&lt;&gt;""),HLOOKUP(MATCH(ET52,EZ52:FD52,0),Discards,1,FALSE),"")</f>
      </c>
      <c r="CD52" s="117">
        <f t="shared" si="210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8"/>
      </c>
      <c r="CI52" s="21"/>
      <c r="CJ52" s="114">
        <f t="shared" si="211"/>
      </c>
      <c r="CK52" s="114">
        <f t="shared" si="212"/>
        <v>0</v>
      </c>
      <c r="CL52" s="115">
        <f ca="1">IF(OR(CG52&lt;&gt;"",CI52&lt;&gt;""),RANK(CK52,CK$11:INDIRECT(CK$7,FALSE)),"")</f>
      </c>
      <c r="CM52" s="116"/>
      <c r="CN52" s="117">
        <f t="shared" si="169"/>
      </c>
      <c r="CO52" s="120">
        <f>IF(AND($F$8&lt;7,CN52&lt;&gt;""),HLOOKUP(MATCH(EU52,EZ52:FE52,0),Discards,1,FALSE),"")</f>
      </c>
      <c r="CP52" s="117">
        <f t="shared" si="213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0"/>
      </c>
      <c r="CU52" s="21"/>
      <c r="CV52" s="114">
        <f t="shared" si="214"/>
      </c>
      <c r="CW52" s="114">
        <f t="shared" si="215"/>
        <v>0</v>
      </c>
      <c r="CX52" s="115">
        <f ca="1">IF(OR(CS52&lt;&gt;"",CU52&lt;&gt;""),RANK(CW52,CW$11:INDIRECT(CW$7,FALSE)),"")</f>
      </c>
      <c r="CY52" s="116"/>
      <c r="CZ52" s="117">
        <f t="shared" si="171"/>
      </c>
      <c r="DA52" s="120">
        <f>IF(AND($F$8&lt;8,CZ52&lt;&gt;""),HLOOKUP(MATCH(EV52,EZ52:FF52,0),Discards,1,FALSE),"")</f>
      </c>
      <c r="DB52" s="117">
        <f t="shared" si="216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2"/>
      </c>
      <c r="DG52" s="21"/>
      <c r="DH52" s="114">
        <f t="shared" si="217"/>
      </c>
      <c r="DI52" s="114">
        <f t="shared" si="218"/>
        <v>0</v>
      </c>
      <c r="DJ52" s="115">
        <f ca="1">IF(OR(DE52&lt;&gt;"",DG52&lt;&gt;""),RANK(DI52,DI$11:INDIRECT(DI$7,FALSE)),"")</f>
      </c>
      <c r="DK52" s="116"/>
      <c r="DL52" s="117">
        <f t="shared" si="173"/>
      </c>
      <c r="DM52" s="120">
        <f>IF(AND($F$8&lt;9,DL52&lt;&gt;""),HLOOKUP(MATCH(EW52,EZ52:FG52,0),Discards,1,FALSE),"")</f>
      </c>
      <c r="DN52" s="117">
        <f t="shared" si="219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4"/>
      </c>
      <c r="DS52" s="21"/>
      <c r="DT52" s="114">
        <f t="shared" si="220"/>
      </c>
      <c r="DU52" s="114">
        <f t="shared" si="221"/>
        <v>0</v>
      </c>
      <c r="DV52" s="115">
        <f ca="1">IF(OR(DQ52&lt;&gt;"",DS52&lt;&gt;""),RANK(DU52,DU$11:INDIRECT(DU$7,FALSE)),"")</f>
      </c>
      <c r="DW52" s="116"/>
      <c r="DX52" s="117">
        <f t="shared" si="175"/>
      </c>
      <c r="DY52" s="120">
        <f>IF(AND($F$8&lt;10,DX52&lt;&gt;""),HLOOKUP(MATCH(EX52,EZ52:FH52,0),Discards,1,FALSE),"")</f>
      </c>
      <c r="DZ52" s="117">
        <f t="shared" si="222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6"/>
      </c>
      <c r="EE52" s="21"/>
      <c r="EF52" s="114">
        <f t="shared" si="223"/>
      </c>
      <c r="EG52" s="114">
        <f t="shared" si="224"/>
        <v>0</v>
      </c>
      <c r="EH52" s="115">
        <f ca="1">IF(OR(EC52&lt;&gt;"",EE52&lt;&gt;""),RANK(EG52,EG$11:INDIRECT(EG$7,FALSE)),"")</f>
      </c>
      <c r="EI52" s="116"/>
      <c r="EJ52" s="117">
        <f t="shared" si="177"/>
      </c>
      <c r="EK52" s="120">
        <f>IF(AND($F$8&lt;11,EJ52&lt;&gt;""),HLOOKUP(MATCH(EY52,EZ52:FI52,0),Discards,1,FALSE),"")</f>
      </c>
      <c r="EL52" s="117">
        <f t="shared" si="225"/>
        <v>0</v>
      </c>
      <c r="EM52" s="118">
        <f ca="1">IF(OR(EC52&lt;&gt;"",EE52&lt;&gt;""),RANK(EL52,EL$11:INDIRECT(EL$7,FALSE)),"")</f>
      </c>
      <c r="EN52" s="121"/>
      <c r="EP52" s="112">
        <f t="shared" si="247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8"/>
      </c>
      <c r="FA52" s="28">
        <f t="shared" si="179"/>
      </c>
      <c r="FB52" s="28">
        <f t="shared" si="180"/>
      </c>
      <c r="FC52" s="28">
        <f t="shared" si="181"/>
      </c>
      <c r="FD52" s="28">
        <f t="shared" si="182"/>
      </c>
      <c r="FE52" s="28">
        <f t="shared" si="183"/>
      </c>
      <c r="FF52" s="28">
        <f t="shared" si="184"/>
      </c>
      <c r="FG52" s="28">
        <f t="shared" si="185"/>
      </c>
      <c r="FH52" s="28">
        <f t="shared" si="186"/>
      </c>
      <c r="FI52" s="28">
        <f t="shared" si="187"/>
      </c>
      <c r="FL52" s="26">
        <f t="shared" si="226"/>
        <v>255000000</v>
      </c>
      <c r="FM52" s="26">
        <f t="shared" si="227"/>
        <v>255000</v>
      </c>
      <c r="FN52" s="26">
        <f t="shared" si="228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29"/>
        <v>0</v>
      </c>
      <c r="FR52" s="26">
        <f t="shared" si="230"/>
        <v>0</v>
      </c>
      <c r="FS52" s="26">
        <f t="shared" si="231"/>
        <v>0</v>
      </c>
      <c r="FT52" s="26">
        <f t="shared" si="232"/>
      </c>
      <c r="FU52" s="26">
        <f t="shared" si="233"/>
        <v>24</v>
      </c>
      <c r="FV52" s="28">
        <f t="shared" si="248"/>
      </c>
      <c r="FW52" s="26">
        <f t="shared" si="246"/>
      </c>
      <c r="FX52" s="28">
        <f t="shared" si="234"/>
      </c>
      <c r="FY52" s="26">
        <f ca="1">IF(FX52&lt;&gt;"",RANK(FX52,FX$11:INDIRECT(FX$7,FALSE)),"")</f>
      </c>
      <c r="FZ52" s="26">
        <f t="shared" si="235"/>
      </c>
      <c r="GA52" s="26">
        <f t="shared" si="81"/>
      </c>
      <c r="GC52" s="27">
        <f t="shared" si="188"/>
      </c>
      <c r="GD52" s="27">
        <f t="shared" si="189"/>
      </c>
      <c r="GE52" s="27">
        <f t="shared" si="236"/>
      </c>
      <c r="GF52" s="27">
        <f t="shared" si="237"/>
      </c>
      <c r="GG52" s="27">
        <f t="shared" si="238"/>
        <v>0</v>
      </c>
      <c r="GH52" s="26">
        <f t="shared" si="239"/>
        <v>0</v>
      </c>
      <c r="GI52" s="26">
        <f t="shared" si="240"/>
        <v>0</v>
      </c>
      <c r="GJ52" s="26">
        <f t="shared" si="241"/>
        <v>0</v>
      </c>
      <c r="GK52" s="26">
        <f t="shared" si="242"/>
      </c>
      <c r="GL52" s="28">
        <f t="shared" si="243"/>
      </c>
      <c r="GM52" s="26">
        <f t="shared" si="244"/>
      </c>
    </row>
    <row r="53" spans="1:195" ht="12.75">
      <c r="A53" s="16">
        <f t="shared" si="245"/>
        <v>43</v>
      </c>
      <c r="B53" s="17"/>
      <c r="C53" s="18"/>
      <c r="D53" s="19"/>
      <c r="E53" s="18"/>
      <c r="F53" s="18" t="s">
        <v>19</v>
      </c>
      <c r="G53" s="148"/>
      <c r="H53" s="122">
        <f t="shared" si="190"/>
      </c>
      <c r="I53" s="30">
        <f t="shared" si="191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2"/>
      </c>
      <c r="M53" s="102">
        <f t="shared" si="193"/>
        <v>0</v>
      </c>
      <c r="N53" s="51">
        <f t="shared" si="159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4"/>
      </c>
      <c r="AB53" s="20"/>
      <c r="AC53" s="104">
        <f t="shared" si="195"/>
      </c>
      <c r="AD53" s="104">
        <f t="shared" si="196"/>
        <v>0</v>
      </c>
      <c r="AE53" s="105">
        <f ca="1">IF(OR(Z53&lt;&gt;"",AB53&lt;&gt;""),RANK(AD53,AD$11:INDIRECT(AD$7,FALSE)),"")</f>
      </c>
      <c r="AF53" s="106"/>
      <c r="AG53" s="107">
        <f t="shared" si="197"/>
      </c>
      <c r="AH53" s="107">
        <f t="shared" si="198"/>
        <v>0</v>
      </c>
      <c r="AI53" s="108">
        <f ca="1">IF(OR(Z53&lt;&gt;"",AB53&lt;&gt;""),RANK(AH53,AH$11:INDIRECT(AH$7,FALSE)),"")</f>
      </c>
      <c r="AJ53" s="109"/>
      <c r="AK53" s="4"/>
      <c r="AL53" s="103">
        <f t="shared" si="199"/>
      </c>
      <c r="AM53" s="20"/>
      <c r="AN53" s="104">
        <f t="shared" si="200"/>
      </c>
      <c r="AO53" s="104">
        <f t="shared" si="201"/>
        <v>0</v>
      </c>
      <c r="AP53" s="105">
        <f ca="1">IF(OR(AK53&lt;&gt;"",AM53&lt;&gt;""),RANK(AO53,AO$11:INDIRECT(AO$7,FALSE)),"")</f>
      </c>
      <c r="AQ53" s="106"/>
      <c r="AR53" s="107">
        <f t="shared" si="160"/>
      </c>
      <c r="AS53" s="110">
        <f>IF(AND($F$8&lt;3,AR53&lt;&gt;""),HLOOKUP(MATCH(EQ53,EZ53:FA53,0),Discards,1,FALSE),"")</f>
      </c>
      <c r="AT53" s="107">
        <f t="shared" si="161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2"/>
      </c>
      <c r="AY53" s="20"/>
      <c r="AZ53" s="104">
        <f t="shared" si="202"/>
      </c>
      <c r="BA53" s="104">
        <f t="shared" si="203"/>
        <v>0</v>
      </c>
      <c r="BB53" s="105">
        <f ca="1">IF(OR(AW53&lt;&gt;"",AY53&lt;&gt;""),RANK(BA53,BA$11:INDIRECT(BA$7,FALSE)),"")</f>
      </c>
      <c r="BC53" s="106"/>
      <c r="BD53" s="107">
        <f t="shared" si="163"/>
      </c>
      <c r="BE53" s="110">
        <f>IF(AND($F$8&lt;4,BD53&lt;&gt;""),HLOOKUP(MATCH(ER53,EZ53:FB53,0),Discards,1,FALSE),"")</f>
      </c>
      <c r="BF53" s="107">
        <f t="shared" si="204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4"/>
      </c>
      <c r="BK53" s="20"/>
      <c r="BL53" s="104">
        <f t="shared" si="205"/>
      </c>
      <c r="BM53" s="104">
        <f t="shared" si="206"/>
        <v>0</v>
      </c>
      <c r="BN53" s="105">
        <f ca="1">IF(OR(BI53&lt;&gt;"",BK53&lt;&gt;""),RANK(BM53,BM$11:INDIRECT(BM$7,FALSE)),"")</f>
      </c>
      <c r="BO53" s="106"/>
      <c r="BP53" s="107">
        <f t="shared" si="165"/>
      </c>
      <c r="BQ53" s="110">
        <f>IF(AND($F$8&lt;5,BP53&lt;&gt;""),HLOOKUP(MATCH(ES53,EZ53:FC53,0),Discards,1,FALSE),"")</f>
      </c>
      <c r="BR53" s="107">
        <f t="shared" si="207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6"/>
      </c>
      <c r="BW53" s="20"/>
      <c r="BX53" s="104">
        <f t="shared" si="208"/>
      </c>
      <c r="BY53" s="104">
        <f t="shared" si="209"/>
        <v>0</v>
      </c>
      <c r="BZ53" s="105">
        <f ca="1">IF(OR(BU53&lt;&gt;"",BW53&lt;&gt;""),RANK(BY53,BY$11:INDIRECT(BY$7,FALSE)),"")</f>
      </c>
      <c r="CA53" s="106"/>
      <c r="CB53" s="107">
        <f t="shared" si="167"/>
      </c>
      <c r="CC53" s="110">
        <f>IF(AND($F$8&lt;6,CB53&lt;&gt;""),HLOOKUP(MATCH(ET53,EZ53:FD53,0),Discards,1,FALSE),"")</f>
      </c>
      <c r="CD53" s="107">
        <f t="shared" si="210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8"/>
      </c>
      <c r="CI53" s="20"/>
      <c r="CJ53" s="104">
        <f t="shared" si="211"/>
      </c>
      <c r="CK53" s="104">
        <f t="shared" si="212"/>
        <v>0</v>
      </c>
      <c r="CL53" s="105">
        <f ca="1">IF(OR(CG53&lt;&gt;"",CI53&lt;&gt;""),RANK(CK53,CK$11:INDIRECT(CK$7,FALSE)),"")</f>
      </c>
      <c r="CM53" s="106"/>
      <c r="CN53" s="107">
        <f t="shared" si="169"/>
      </c>
      <c r="CO53" s="110">
        <f>IF(AND($F$8&lt;7,CN53&lt;&gt;""),HLOOKUP(MATCH(EU53,EZ53:FE53,0),Discards,1,FALSE),"")</f>
      </c>
      <c r="CP53" s="107">
        <f t="shared" si="213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0"/>
      </c>
      <c r="CU53" s="20"/>
      <c r="CV53" s="104">
        <f t="shared" si="214"/>
      </c>
      <c r="CW53" s="104">
        <f t="shared" si="215"/>
        <v>0</v>
      </c>
      <c r="CX53" s="105">
        <f ca="1">IF(OR(CS53&lt;&gt;"",CU53&lt;&gt;""),RANK(CW53,CW$11:INDIRECT(CW$7,FALSE)),"")</f>
      </c>
      <c r="CY53" s="106"/>
      <c r="CZ53" s="107">
        <f t="shared" si="171"/>
      </c>
      <c r="DA53" s="110">
        <f>IF(AND($F$8&lt;8,CZ53&lt;&gt;""),HLOOKUP(MATCH(EV53,EZ53:FF53,0),Discards,1,FALSE),"")</f>
      </c>
      <c r="DB53" s="107">
        <f t="shared" si="216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2"/>
      </c>
      <c r="DG53" s="20"/>
      <c r="DH53" s="104">
        <f t="shared" si="217"/>
      </c>
      <c r="DI53" s="104">
        <f t="shared" si="218"/>
        <v>0</v>
      </c>
      <c r="DJ53" s="105">
        <f ca="1">IF(OR(DE53&lt;&gt;"",DG53&lt;&gt;""),RANK(DI53,DI$11:INDIRECT(DI$7,FALSE)),"")</f>
      </c>
      <c r="DK53" s="106"/>
      <c r="DL53" s="107">
        <f t="shared" si="173"/>
      </c>
      <c r="DM53" s="110">
        <f>IF(AND($F$8&lt;9,DL53&lt;&gt;""),HLOOKUP(MATCH(EW53,EZ53:FG53,0),Discards,1,FALSE),"")</f>
      </c>
      <c r="DN53" s="107">
        <f t="shared" si="219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4"/>
      </c>
      <c r="DS53" s="20"/>
      <c r="DT53" s="104">
        <f t="shared" si="220"/>
      </c>
      <c r="DU53" s="104">
        <f t="shared" si="221"/>
        <v>0</v>
      </c>
      <c r="DV53" s="105">
        <f ca="1">IF(OR(DQ53&lt;&gt;"",DS53&lt;&gt;""),RANK(DU53,DU$11:INDIRECT(DU$7,FALSE)),"")</f>
      </c>
      <c r="DW53" s="106"/>
      <c r="DX53" s="107">
        <f t="shared" si="175"/>
      </c>
      <c r="DY53" s="110">
        <f>IF(AND($F$8&lt;10,DX53&lt;&gt;""),HLOOKUP(MATCH(EX53,EZ53:FH53,0),Discards,1,FALSE),"")</f>
      </c>
      <c r="DZ53" s="107">
        <f t="shared" si="222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6"/>
      </c>
      <c r="EE53" s="20"/>
      <c r="EF53" s="104">
        <f t="shared" si="223"/>
      </c>
      <c r="EG53" s="104">
        <f t="shared" si="224"/>
        <v>0</v>
      </c>
      <c r="EH53" s="105">
        <f ca="1">IF(OR(EC53&lt;&gt;"",EE53&lt;&gt;""),RANK(EG53,EG$11:INDIRECT(EG$7,FALSE)),"")</f>
      </c>
      <c r="EI53" s="106"/>
      <c r="EJ53" s="107">
        <f t="shared" si="177"/>
      </c>
      <c r="EK53" s="110">
        <f>IF(AND($F$8&lt;11,EJ53&lt;&gt;""),HLOOKUP(MATCH(EY53,EZ53:FI53,0),Discards,1,FALSE),"")</f>
      </c>
      <c r="EL53" s="107">
        <f t="shared" si="225"/>
        <v>0</v>
      </c>
      <c r="EM53" s="108">
        <f ca="1">IF(OR(EC53&lt;&gt;"",EE53&lt;&gt;""),RANK(EL53,EL$11:INDIRECT(EL$7,FALSE)),"")</f>
      </c>
      <c r="EN53" s="111"/>
      <c r="EP53" s="112">
        <f t="shared" si="247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8"/>
      </c>
      <c r="FA53" s="28">
        <f t="shared" si="179"/>
      </c>
      <c r="FB53" s="28">
        <f t="shared" si="180"/>
      </c>
      <c r="FC53" s="28">
        <f t="shared" si="181"/>
      </c>
      <c r="FD53" s="28">
        <f t="shared" si="182"/>
      </c>
      <c r="FE53" s="28">
        <f t="shared" si="183"/>
      </c>
      <c r="FF53" s="28">
        <f t="shared" si="184"/>
      </c>
      <c r="FG53" s="28">
        <f t="shared" si="185"/>
      </c>
      <c r="FH53" s="28">
        <f t="shared" si="186"/>
      </c>
      <c r="FI53" s="28">
        <f t="shared" si="187"/>
      </c>
      <c r="FL53" s="26">
        <f t="shared" si="226"/>
        <v>255000000</v>
      </c>
      <c r="FM53" s="26">
        <f t="shared" si="227"/>
        <v>255000</v>
      </c>
      <c r="FN53" s="26">
        <f t="shared" si="228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29"/>
        <v>0</v>
      </c>
      <c r="FR53" s="26">
        <f t="shared" si="230"/>
        <v>0</v>
      </c>
      <c r="FS53" s="26">
        <f t="shared" si="231"/>
        <v>0</v>
      </c>
      <c r="FT53" s="26">
        <f t="shared" si="232"/>
      </c>
      <c r="FU53" s="26">
        <f t="shared" si="233"/>
        <v>24</v>
      </c>
      <c r="FV53" s="28">
        <f t="shared" si="248"/>
      </c>
      <c r="FW53" s="26">
        <f t="shared" si="246"/>
      </c>
      <c r="FX53" s="28">
        <f t="shared" si="234"/>
      </c>
      <c r="FY53" s="26">
        <f ca="1">IF(FX53&lt;&gt;"",RANK(FX53,FX$11:INDIRECT(FX$7,FALSE)),"")</f>
      </c>
      <c r="FZ53" s="26">
        <f t="shared" si="235"/>
      </c>
      <c r="GA53" s="26">
        <f t="shared" si="81"/>
      </c>
      <c r="GC53" s="27">
        <f t="shared" si="188"/>
      </c>
      <c r="GD53" s="27">
        <f t="shared" si="189"/>
      </c>
      <c r="GE53" s="27">
        <f t="shared" si="236"/>
      </c>
      <c r="GF53" s="27">
        <f t="shared" si="237"/>
      </c>
      <c r="GG53" s="27">
        <f t="shared" si="238"/>
        <v>0</v>
      </c>
      <c r="GH53" s="26">
        <f t="shared" si="239"/>
        <v>0</v>
      </c>
      <c r="GI53" s="26">
        <f t="shared" si="240"/>
        <v>0</v>
      </c>
      <c r="GJ53" s="26">
        <f t="shared" si="241"/>
        <v>0</v>
      </c>
      <c r="GK53" s="26">
        <f t="shared" si="242"/>
      </c>
      <c r="GL53" s="28">
        <f t="shared" si="243"/>
      </c>
      <c r="GM53" s="26">
        <f t="shared" si="244"/>
      </c>
    </row>
    <row r="54" spans="1:195" ht="12.75">
      <c r="A54" s="16">
        <f t="shared" si="245"/>
        <v>44</v>
      </c>
      <c r="B54" s="17"/>
      <c r="C54" s="18"/>
      <c r="D54" s="19"/>
      <c r="E54" s="18"/>
      <c r="F54" s="18" t="s">
        <v>19</v>
      </c>
      <c r="G54" s="148"/>
      <c r="H54" s="122">
        <f t="shared" si="190"/>
      </c>
      <c r="I54" s="30">
        <f t="shared" si="191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2"/>
      </c>
      <c r="M54" s="102">
        <f t="shared" si="193"/>
        <v>0</v>
      </c>
      <c r="N54" s="51">
        <f t="shared" si="159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4"/>
      </c>
      <c r="AB54" s="20"/>
      <c r="AC54" s="104">
        <f t="shared" si="195"/>
      </c>
      <c r="AD54" s="104">
        <f t="shared" si="196"/>
        <v>0</v>
      </c>
      <c r="AE54" s="105">
        <f ca="1">IF(OR(Z54&lt;&gt;"",AB54&lt;&gt;""),RANK(AD54,AD$11:INDIRECT(AD$7,FALSE)),"")</f>
      </c>
      <c r="AF54" s="106"/>
      <c r="AG54" s="107">
        <f t="shared" si="197"/>
      </c>
      <c r="AH54" s="107">
        <f t="shared" si="198"/>
        <v>0</v>
      </c>
      <c r="AI54" s="108">
        <f ca="1">IF(OR(Z54&lt;&gt;"",AB54&lt;&gt;""),RANK(AH54,AH$11:INDIRECT(AH$7,FALSE)),"")</f>
      </c>
      <c r="AJ54" s="109"/>
      <c r="AK54" s="4"/>
      <c r="AL54" s="103">
        <f t="shared" si="199"/>
      </c>
      <c r="AM54" s="20"/>
      <c r="AN54" s="104">
        <f t="shared" si="200"/>
      </c>
      <c r="AO54" s="104">
        <f t="shared" si="201"/>
        <v>0</v>
      </c>
      <c r="AP54" s="105">
        <f ca="1">IF(OR(AK54&lt;&gt;"",AM54&lt;&gt;""),RANK(AO54,AO$11:INDIRECT(AO$7,FALSE)),"")</f>
      </c>
      <c r="AQ54" s="106"/>
      <c r="AR54" s="107">
        <f t="shared" si="160"/>
      </c>
      <c r="AS54" s="110">
        <f>IF(AND($F$8&lt;3,AR54&lt;&gt;""),HLOOKUP(MATCH(EQ54,EZ54:FA54,0),Discards,1,FALSE),"")</f>
      </c>
      <c r="AT54" s="107">
        <f t="shared" si="161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2"/>
      </c>
      <c r="AY54" s="20"/>
      <c r="AZ54" s="104">
        <f t="shared" si="202"/>
      </c>
      <c r="BA54" s="104">
        <f t="shared" si="203"/>
        <v>0</v>
      </c>
      <c r="BB54" s="105">
        <f ca="1">IF(OR(AW54&lt;&gt;"",AY54&lt;&gt;""),RANK(BA54,BA$11:INDIRECT(BA$7,FALSE)),"")</f>
      </c>
      <c r="BC54" s="106"/>
      <c r="BD54" s="107">
        <f t="shared" si="163"/>
      </c>
      <c r="BE54" s="110">
        <f>IF(AND($F$8&lt;4,BD54&lt;&gt;""),HLOOKUP(MATCH(ER54,EZ54:FB54,0),Discards,1,FALSE),"")</f>
      </c>
      <c r="BF54" s="107">
        <f t="shared" si="204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4"/>
      </c>
      <c r="BK54" s="20"/>
      <c r="BL54" s="104">
        <f t="shared" si="205"/>
      </c>
      <c r="BM54" s="104">
        <f t="shared" si="206"/>
        <v>0</v>
      </c>
      <c r="BN54" s="105">
        <f ca="1">IF(OR(BI54&lt;&gt;"",BK54&lt;&gt;""),RANK(BM54,BM$11:INDIRECT(BM$7,FALSE)),"")</f>
      </c>
      <c r="BO54" s="106"/>
      <c r="BP54" s="107">
        <f t="shared" si="165"/>
      </c>
      <c r="BQ54" s="110">
        <f>IF(AND($F$8&lt;5,BP54&lt;&gt;""),HLOOKUP(MATCH(ES54,EZ54:FC54,0),Discards,1,FALSE),"")</f>
      </c>
      <c r="BR54" s="107">
        <f t="shared" si="207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6"/>
      </c>
      <c r="BW54" s="20"/>
      <c r="BX54" s="104">
        <f t="shared" si="208"/>
      </c>
      <c r="BY54" s="104">
        <f t="shared" si="209"/>
        <v>0</v>
      </c>
      <c r="BZ54" s="105">
        <f ca="1">IF(OR(BU54&lt;&gt;"",BW54&lt;&gt;""),RANK(BY54,BY$11:INDIRECT(BY$7,FALSE)),"")</f>
      </c>
      <c r="CA54" s="106"/>
      <c r="CB54" s="107">
        <f t="shared" si="167"/>
      </c>
      <c r="CC54" s="110">
        <f>IF(AND($F$8&lt;6,CB54&lt;&gt;""),HLOOKUP(MATCH(ET54,EZ54:FD54,0),Discards,1,FALSE),"")</f>
      </c>
      <c r="CD54" s="107">
        <f t="shared" si="210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8"/>
      </c>
      <c r="CI54" s="20"/>
      <c r="CJ54" s="104">
        <f t="shared" si="211"/>
      </c>
      <c r="CK54" s="104">
        <f t="shared" si="212"/>
        <v>0</v>
      </c>
      <c r="CL54" s="105">
        <f ca="1">IF(OR(CG54&lt;&gt;"",CI54&lt;&gt;""),RANK(CK54,CK$11:INDIRECT(CK$7,FALSE)),"")</f>
      </c>
      <c r="CM54" s="106"/>
      <c r="CN54" s="107">
        <f t="shared" si="169"/>
      </c>
      <c r="CO54" s="110">
        <f>IF(AND($F$8&lt;7,CN54&lt;&gt;""),HLOOKUP(MATCH(EU54,EZ54:FE54,0),Discards,1,FALSE),"")</f>
      </c>
      <c r="CP54" s="107">
        <f t="shared" si="213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0"/>
      </c>
      <c r="CU54" s="20"/>
      <c r="CV54" s="104">
        <f t="shared" si="214"/>
      </c>
      <c r="CW54" s="104">
        <f t="shared" si="215"/>
        <v>0</v>
      </c>
      <c r="CX54" s="105">
        <f ca="1">IF(OR(CS54&lt;&gt;"",CU54&lt;&gt;""),RANK(CW54,CW$11:INDIRECT(CW$7,FALSE)),"")</f>
      </c>
      <c r="CY54" s="106"/>
      <c r="CZ54" s="107">
        <f t="shared" si="171"/>
      </c>
      <c r="DA54" s="110">
        <f>IF(AND($F$8&lt;8,CZ54&lt;&gt;""),HLOOKUP(MATCH(EV54,EZ54:FF54,0),Discards,1,FALSE),"")</f>
      </c>
      <c r="DB54" s="107">
        <f t="shared" si="216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2"/>
      </c>
      <c r="DG54" s="20"/>
      <c r="DH54" s="104">
        <f t="shared" si="217"/>
      </c>
      <c r="DI54" s="104">
        <f t="shared" si="218"/>
        <v>0</v>
      </c>
      <c r="DJ54" s="105">
        <f ca="1">IF(OR(DE54&lt;&gt;"",DG54&lt;&gt;""),RANK(DI54,DI$11:INDIRECT(DI$7,FALSE)),"")</f>
      </c>
      <c r="DK54" s="106"/>
      <c r="DL54" s="107">
        <f t="shared" si="173"/>
      </c>
      <c r="DM54" s="110">
        <f>IF(AND($F$8&lt;9,DL54&lt;&gt;""),HLOOKUP(MATCH(EW54,EZ54:FG54,0),Discards,1,FALSE),"")</f>
      </c>
      <c r="DN54" s="107">
        <f t="shared" si="219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4"/>
      </c>
      <c r="DS54" s="20"/>
      <c r="DT54" s="104">
        <f t="shared" si="220"/>
      </c>
      <c r="DU54" s="104">
        <f t="shared" si="221"/>
        <v>0</v>
      </c>
      <c r="DV54" s="105">
        <f ca="1">IF(OR(DQ54&lt;&gt;"",DS54&lt;&gt;""),RANK(DU54,DU$11:INDIRECT(DU$7,FALSE)),"")</f>
      </c>
      <c r="DW54" s="106"/>
      <c r="DX54" s="107">
        <f t="shared" si="175"/>
      </c>
      <c r="DY54" s="110">
        <f>IF(AND($F$8&lt;10,DX54&lt;&gt;""),HLOOKUP(MATCH(EX54,EZ54:FH54,0),Discards,1,FALSE),"")</f>
      </c>
      <c r="DZ54" s="107">
        <f t="shared" si="222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6"/>
      </c>
      <c r="EE54" s="20"/>
      <c r="EF54" s="104">
        <f t="shared" si="223"/>
      </c>
      <c r="EG54" s="104">
        <f t="shared" si="224"/>
        <v>0</v>
      </c>
      <c r="EH54" s="105">
        <f ca="1">IF(OR(EC54&lt;&gt;"",EE54&lt;&gt;""),RANK(EG54,EG$11:INDIRECT(EG$7,FALSE)),"")</f>
      </c>
      <c r="EI54" s="106"/>
      <c r="EJ54" s="107">
        <f t="shared" si="177"/>
      </c>
      <c r="EK54" s="110">
        <f>IF(AND($F$8&lt;11,EJ54&lt;&gt;""),HLOOKUP(MATCH(EY54,EZ54:FI54,0),Discards,1,FALSE),"")</f>
      </c>
      <c r="EL54" s="107">
        <f t="shared" si="225"/>
        <v>0</v>
      </c>
      <c r="EM54" s="108">
        <f ca="1">IF(OR(EC54&lt;&gt;"",EE54&lt;&gt;""),RANK(EL54,EL$11:INDIRECT(EL$7,FALSE)),"")</f>
      </c>
      <c r="EN54" s="111"/>
      <c r="EP54" s="112">
        <f t="shared" si="247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8"/>
      </c>
      <c r="FA54" s="28">
        <f t="shared" si="179"/>
      </c>
      <c r="FB54" s="28">
        <f t="shared" si="180"/>
      </c>
      <c r="FC54" s="28">
        <f t="shared" si="181"/>
      </c>
      <c r="FD54" s="28">
        <f t="shared" si="182"/>
      </c>
      <c r="FE54" s="28">
        <f t="shared" si="183"/>
      </c>
      <c r="FF54" s="28">
        <f t="shared" si="184"/>
      </c>
      <c r="FG54" s="28">
        <f t="shared" si="185"/>
      </c>
      <c r="FH54" s="28">
        <f t="shared" si="186"/>
      </c>
      <c r="FI54" s="28">
        <f t="shared" si="187"/>
      </c>
      <c r="FL54" s="26">
        <f t="shared" si="226"/>
        <v>255000000</v>
      </c>
      <c r="FM54" s="26">
        <f t="shared" si="227"/>
        <v>255000</v>
      </c>
      <c r="FN54" s="26">
        <f t="shared" si="228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29"/>
        <v>0</v>
      </c>
      <c r="FR54" s="26">
        <f t="shared" si="230"/>
        <v>0</v>
      </c>
      <c r="FS54" s="26">
        <f t="shared" si="231"/>
        <v>0</v>
      </c>
      <c r="FT54" s="26">
        <f t="shared" si="232"/>
      </c>
      <c r="FU54" s="26">
        <f t="shared" si="233"/>
        <v>24</v>
      </c>
      <c r="FV54" s="28">
        <f t="shared" si="248"/>
      </c>
      <c r="FW54" s="26">
        <f t="shared" si="246"/>
      </c>
      <c r="FX54" s="28">
        <f t="shared" si="234"/>
      </c>
      <c r="FY54" s="26">
        <f ca="1">IF(FX54&lt;&gt;"",RANK(FX54,FX$11:INDIRECT(FX$7,FALSE)),"")</f>
      </c>
      <c r="FZ54" s="26">
        <f t="shared" si="235"/>
      </c>
      <c r="GA54" s="26">
        <f t="shared" si="81"/>
      </c>
      <c r="GC54" s="27">
        <f t="shared" si="188"/>
      </c>
      <c r="GD54" s="27">
        <f t="shared" si="189"/>
      </c>
      <c r="GE54" s="27">
        <f t="shared" si="236"/>
      </c>
      <c r="GF54" s="27">
        <f t="shared" si="237"/>
      </c>
      <c r="GG54" s="27">
        <f t="shared" si="238"/>
        <v>0</v>
      </c>
      <c r="GH54" s="26">
        <f t="shared" si="239"/>
        <v>0</v>
      </c>
      <c r="GI54" s="26">
        <f t="shared" si="240"/>
        <v>0</v>
      </c>
      <c r="GJ54" s="26">
        <f t="shared" si="241"/>
        <v>0</v>
      </c>
      <c r="GK54" s="26">
        <f t="shared" si="242"/>
      </c>
      <c r="GL54" s="28">
        <f t="shared" si="243"/>
      </c>
      <c r="GM54" s="26">
        <f t="shared" si="244"/>
      </c>
    </row>
    <row r="55" spans="1:195" ht="12.75">
      <c r="A55" s="16">
        <f t="shared" si="245"/>
        <v>45</v>
      </c>
      <c r="B55" s="17"/>
      <c r="C55" s="18"/>
      <c r="D55" s="19"/>
      <c r="E55" s="18"/>
      <c r="F55" s="18" t="s">
        <v>19</v>
      </c>
      <c r="G55" s="148"/>
      <c r="H55" s="122">
        <f t="shared" si="190"/>
      </c>
      <c r="I55" s="30">
        <f t="shared" si="191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2"/>
      </c>
      <c r="M55" s="102">
        <f t="shared" si="193"/>
        <v>0</v>
      </c>
      <c r="N55" s="51">
        <f t="shared" si="159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4"/>
      </c>
      <c r="AB55" s="20"/>
      <c r="AC55" s="104">
        <f t="shared" si="195"/>
      </c>
      <c r="AD55" s="104">
        <f t="shared" si="196"/>
        <v>0</v>
      </c>
      <c r="AE55" s="105">
        <f ca="1">IF(OR(Z55&lt;&gt;"",AB55&lt;&gt;""),RANK(AD55,AD$11:INDIRECT(AD$7,FALSE)),"")</f>
      </c>
      <c r="AF55" s="106"/>
      <c r="AG55" s="107">
        <f t="shared" si="197"/>
      </c>
      <c r="AH55" s="107">
        <f t="shared" si="198"/>
        <v>0</v>
      </c>
      <c r="AI55" s="108">
        <f ca="1">IF(OR(Z55&lt;&gt;"",AB55&lt;&gt;""),RANK(AH55,AH$11:INDIRECT(AH$7,FALSE)),"")</f>
      </c>
      <c r="AJ55" s="109"/>
      <c r="AK55" s="4"/>
      <c r="AL55" s="103">
        <f t="shared" si="199"/>
      </c>
      <c r="AM55" s="20"/>
      <c r="AN55" s="104">
        <f t="shared" si="200"/>
      </c>
      <c r="AO55" s="104">
        <f t="shared" si="201"/>
        <v>0</v>
      </c>
      <c r="AP55" s="105">
        <f ca="1">IF(OR(AK55&lt;&gt;"",AM55&lt;&gt;""),RANK(AO55,AO$11:INDIRECT(AO$7,FALSE)),"")</f>
      </c>
      <c r="AQ55" s="106"/>
      <c r="AR55" s="107">
        <f t="shared" si="160"/>
      </c>
      <c r="AS55" s="110">
        <f>IF(AND($F$8&lt;3,AR55&lt;&gt;""),HLOOKUP(MATCH(EQ55,EZ55:FA55,0),Discards,1,FALSE),"")</f>
      </c>
      <c r="AT55" s="107">
        <f t="shared" si="161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2"/>
      </c>
      <c r="AY55" s="20"/>
      <c r="AZ55" s="104">
        <f t="shared" si="202"/>
      </c>
      <c r="BA55" s="104">
        <f t="shared" si="203"/>
        <v>0</v>
      </c>
      <c r="BB55" s="105">
        <f ca="1">IF(OR(AW55&lt;&gt;"",AY55&lt;&gt;""),RANK(BA55,BA$11:INDIRECT(BA$7,FALSE)),"")</f>
      </c>
      <c r="BC55" s="106"/>
      <c r="BD55" s="107">
        <f t="shared" si="163"/>
      </c>
      <c r="BE55" s="110">
        <f>IF(AND($F$8&lt;4,BD55&lt;&gt;""),HLOOKUP(MATCH(ER55,EZ55:FB55,0),Discards,1,FALSE),"")</f>
      </c>
      <c r="BF55" s="107">
        <f t="shared" si="204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4"/>
      </c>
      <c r="BK55" s="20"/>
      <c r="BL55" s="104">
        <f t="shared" si="205"/>
      </c>
      <c r="BM55" s="104">
        <f t="shared" si="206"/>
        <v>0</v>
      </c>
      <c r="BN55" s="105">
        <f ca="1">IF(OR(BI55&lt;&gt;"",BK55&lt;&gt;""),RANK(BM55,BM$11:INDIRECT(BM$7,FALSE)),"")</f>
      </c>
      <c r="BO55" s="106"/>
      <c r="BP55" s="107">
        <f t="shared" si="165"/>
      </c>
      <c r="BQ55" s="110">
        <f>IF(AND($F$8&lt;5,BP55&lt;&gt;""),HLOOKUP(MATCH(ES55,EZ55:FC55,0),Discards,1,FALSE),"")</f>
      </c>
      <c r="BR55" s="107">
        <f t="shared" si="207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6"/>
      </c>
      <c r="BW55" s="20"/>
      <c r="BX55" s="104">
        <f t="shared" si="208"/>
      </c>
      <c r="BY55" s="104">
        <f t="shared" si="209"/>
        <v>0</v>
      </c>
      <c r="BZ55" s="105">
        <f ca="1">IF(OR(BU55&lt;&gt;"",BW55&lt;&gt;""),RANK(BY55,BY$11:INDIRECT(BY$7,FALSE)),"")</f>
      </c>
      <c r="CA55" s="106"/>
      <c r="CB55" s="107">
        <f t="shared" si="167"/>
      </c>
      <c r="CC55" s="110">
        <f>IF(AND($F$8&lt;6,CB55&lt;&gt;""),HLOOKUP(MATCH(ET55,EZ55:FD55,0),Discards,1,FALSE),"")</f>
      </c>
      <c r="CD55" s="107">
        <f t="shared" si="210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8"/>
      </c>
      <c r="CI55" s="20"/>
      <c r="CJ55" s="104">
        <f t="shared" si="211"/>
      </c>
      <c r="CK55" s="104">
        <f t="shared" si="212"/>
        <v>0</v>
      </c>
      <c r="CL55" s="105">
        <f ca="1">IF(OR(CG55&lt;&gt;"",CI55&lt;&gt;""),RANK(CK55,CK$11:INDIRECT(CK$7,FALSE)),"")</f>
      </c>
      <c r="CM55" s="106"/>
      <c r="CN55" s="107">
        <f t="shared" si="169"/>
      </c>
      <c r="CO55" s="110">
        <f>IF(AND($F$8&lt;7,CN55&lt;&gt;""),HLOOKUP(MATCH(EU55,EZ55:FE55,0),Discards,1,FALSE),"")</f>
      </c>
      <c r="CP55" s="107">
        <f t="shared" si="213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0"/>
      </c>
      <c r="CU55" s="20"/>
      <c r="CV55" s="104">
        <f t="shared" si="214"/>
      </c>
      <c r="CW55" s="104">
        <f t="shared" si="215"/>
        <v>0</v>
      </c>
      <c r="CX55" s="105">
        <f ca="1">IF(OR(CS55&lt;&gt;"",CU55&lt;&gt;""),RANK(CW55,CW$11:INDIRECT(CW$7,FALSE)),"")</f>
      </c>
      <c r="CY55" s="106"/>
      <c r="CZ55" s="107">
        <f t="shared" si="171"/>
      </c>
      <c r="DA55" s="110">
        <f>IF(AND($F$8&lt;8,CZ55&lt;&gt;""),HLOOKUP(MATCH(EV55,EZ55:FF55,0),Discards,1,FALSE),"")</f>
      </c>
      <c r="DB55" s="107">
        <f t="shared" si="216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2"/>
      </c>
      <c r="DG55" s="20"/>
      <c r="DH55" s="104">
        <f t="shared" si="217"/>
      </c>
      <c r="DI55" s="104">
        <f t="shared" si="218"/>
        <v>0</v>
      </c>
      <c r="DJ55" s="105">
        <f ca="1">IF(OR(DE55&lt;&gt;"",DG55&lt;&gt;""),RANK(DI55,DI$11:INDIRECT(DI$7,FALSE)),"")</f>
      </c>
      <c r="DK55" s="106"/>
      <c r="DL55" s="107">
        <f t="shared" si="173"/>
      </c>
      <c r="DM55" s="110">
        <f>IF(AND($F$8&lt;9,DL55&lt;&gt;""),HLOOKUP(MATCH(EW55,EZ55:FG55,0),Discards,1,FALSE),"")</f>
      </c>
      <c r="DN55" s="107">
        <f t="shared" si="219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4"/>
      </c>
      <c r="DS55" s="20"/>
      <c r="DT55" s="104">
        <f t="shared" si="220"/>
      </c>
      <c r="DU55" s="104">
        <f t="shared" si="221"/>
        <v>0</v>
      </c>
      <c r="DV55" s="105">
        <f ca="1">IF(OR(DQ55&lt;&gt;"",DS55&lt;&gt;""),RANK(DU55,DU$11:INDIRECT(DU$7,FALSE)),"")</f>
      </c>
      <c r="DW55" s="106"/>
      <c r="DX55" s="107">
        <f t="shared" si="175"/>
      </c>
      <c r="DY55" s="110">
        <f>IF(AND($F$8&lt;10,DX55&lt;&gt;""),HLOOKUP(MATCH(EX55,EZ55:FH55,0),Discards,1,FALSE),"")</f>
      </c>
      <c r="DZ55" s="107">
        <f t="shared" si="222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6"/>
      </c>
      <c r="EE55" s="20"/>
      <c r="EF55" s="104">
        <f t="shared" si="223"/>
      </c>
      <c r="EG55" s="104">
        <f t="shared" si="224"/>
        <v>0</v>
      </c>
      <c r="EH55" s="105">
        <f ca="1">IF(OR(EC55&lt;&gt;"",EE55&lt;&gt;""),RANK(EG55,EG$11:INDIRECT(EG$7,FALSE)),"")</f>
      </c>
      <c r="EI55" s="106"/>
      <c r="EJ55" s="107">
        <f t="shared" si="177"/>
      </c>
      <c r="EK55" s="110">
        <f>IF(AND($F$8&lt;11,EJ55&lt;&gt;""),HLOOKUP(MATCH(EY55,EZ55:FI55,0),Discards,1,FALSE),"")</f>
      </c>
      <c r="EL55" s="107">
        <f t="shared" si="225"/>
        <v>0</v>
      </c>
      <c r="EM55" s="108">
        <f ca="1">IF(OR(EC55&lt;&gt;"",EE55&lt;&gt;""),RANK(EL55,EL$11:INDIRECT(EL$7,FALSE)),"")</f>
      </c>
      <c r="EN55" s="111"/>
      <c r="EP55" s="112">
        <f t="shared" si="247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8"/>
      </c>
      <c r="FA55" s="28">
        <f t="shared" si="179"/>
      </c>
      <c r="FB55" s="28">
        <f t="shared" si="180"/>
      </c>
      <c r="FC55" s="28">
        <f t="shared" si="181"/>
      </c>
      <c r="FD55" s="28">
        <f t="shared" si="182"/>
      </c>
      <c r="FE55" s="28">
        <f t="shared" si="183"/>
      </c>
      <c r="FF55" s="28">
        <f t="shared" si="184"/>
      </c>
      <c r="FG55" s="28">
        <f t="shared" si="185"/>
      </c>
      <c r="FH55" s="28">
        <f t="shared" si="186"/>
      </c>
      <c r="FI55" s="28">
        <f t="shared" si="187"/>
      </c>
      <c r="FL55" s="26">
        <f t="shared" si="226"/>
        <v>255000000</v>
      </c>
      <c r="FM55" s="26">
        <f t="shared" si="227"/>
        <v>255000</v>
      </c>
      <c r="FN55" s="26">
        <f t="shared" si="228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29"/>
        <v>0</v>
      </c>
      <c r="FR55" s="26">
        <f t="shared" si="230"/>
        <v>0</v>
      </c>
      <c r="FS55" s="26">
        <f t="shared" si="231"/>
        <v>0</v>
      </c>
      <c r="FT55" s="26">
        <f t="shared" si="232"/>
      </c>
      <c r="FU55" s="26">
        <f t="shared" si="233"/>
        <v>24</v>
      </c>
      <c r="FV55" s="28">
        <f t="shared" si="248"/>
      </c>
      <c r="FW55" s="26">
        <f t="shared" si="246"/>
      </c>
      <c r="FX55" s="28">
        <f t="shared" si="234"/>
      </c>
      <c r="FY55" s="26">
        <f ca="1">IF(FX55&lt;&gt;"",RANK(FX55,FX$11:INDIRECT(FX$7,FALSE)),"")</f>
      </c>
      <c r="FZ55" s="26">
        <f t="shared" si="235"/>
      </c>
      <c r="GA55" s="26">
        <f t="shared" si="81"/>
      </c>
      <c r="GC55" s="27">
        <f t="shared" si="188"/>
      </c>
      <c r="GD55" s="27">
        <f t="shared" si="189"/>
      </c>
      <c r="GE55" s="27">
        <f t="shared" si="236"/>
      </c>
      <c r="GF55" s="27">
        <f t="shared" si="237"/>
      </c>
      <c r="GG55" s="27">
        <f t="shared" si="238"/>
        <v>0</v>
      </c>
      <c r="GH55" s="26">
        <f t="shared" si="239"/>
        <v>0</v>
      </c>
      <c r="GI55" s="26">
        <f t="shared" si="240"/>
        <v>0</v>
      </c>
      <c r="GJ55" s="26">
        <f t="shared" si="241"/>
        <v>0</v>
      </c>
      <c r="GK55" s="26">
        <f t="shared" si="242"/>
      </c>
      <c r="GL55" s="28">
        <f t="shared" si="243"/>
      </c>
      <c r="GM55" s="26">
        <f t="shared" si="244"/>
      </c>
    </row>
    <row r="56" spans="1:195" ht="12.75">
      <c r="A56" s="132">
        <f t="shared" si="245"/>
        <v>46</v>
      </c>
      <c r="B56" s="133"/>
      <c r="C56" s="134"/>
      <c r="D56" s="135"/>
      <c r="E56" s="134"/>
      <c r="F56" s="134" t="s">
        <v>19</v>
      </c>
      <c r="G56" s="149"/>
      <c r="H56" s="136">
        <f t="shared" si="190"/>
      </c>
      <c r="I56" s="137">
        <f t="shared" si="191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2"/>
      </c>
      <c r="M56" s="137">
        <f t="shared" si="193"/>
        <v>0</v>
      </c>
      <c r="N56" s="138">
        <f t="shared" si="159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4"/>
      </c>
      <c r="AB56" s="21"/>
      <c r="AC56" s="114">
        <f t="shared" si="195"/>
      </c>
      <c r="AD56" s="114">
        <f t="shared" si="196"/>
        <v>0</v>
      </c>
      <c r="AE56" s="115">
        <f ca="1">IF(OR(Z56&lt;&gt;"",AB56&lt;&gt;""),RANK(AD56,AD$11:INDIRECT(AD$7,FALSE)),"")</f>
      </c>
      <c r="AF56" s="116"/>
      <c r="AG56" s="117">
        <f t="shared" si="197"/>
      </c>
      <c r="AH56" s="117">
        <f t="shared" si="198"/>
        <v>0</v>
      </c>
      <c r="AI56" s="118">
        <f ca="1">IF(OR(Z56&lt;&gt;"",AB56&lt;&gt;""),RANK(AH56,AH$11:INDIRECT(AH$7,FALSE)),"")</f>
      </c>
      <c r="AJ56" s="119"/>
      <c r="AK56" s="5"/>
      <c r="AL56" s="113">
        <f t="shared" si="199"/>
      </c>
      <c r="AM56" s="21"/>
      <c r="AN56" s="114">
        <f t="shared" si="200"/>
      </c>
      <c r="AO56" s="114">
        <f t="shared" si="201"/>
        <v>0</v>
      </c>
      <c r="AP56" s="115">
        <f ca="1">IF(OR(AK56&lt;&gt;"",AM56&lt;&gt;""),RANK(AO56,AO$11:INDIRECT(AO$7,FALSE)),"")</f>
      </c>
      <c r="AQ56" s="116"/>
      <c r="AR56" s="117">
        <f t="shared" si="160"/>
      </c>
      <c r="AS56" s="120">
        <f>IF(AND($F$8&lt;3,AR56&lt;&gt;""),HLOOKUP(MATCH(EQ56,EZ56:FA56,0),Discards,1,FALSE),"")</f>
      </c>
      <c r="AT56" s="117">
        <f t="shared" si="161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2"/>
      </c>
      <c r="AY56" s="21"/>
      <c r="AZ56" s="114">
        <f t="shared" si="202"/>
      </c>
      <c r="BA56" s="114">
        <f t="shared" si="203"/>
        <v>0</v>
      </c>
      <c r="BB56" s="115">
        <f ca="1">IF(OR(AW56&lt;&gt;"",AY56&lt;&gt;""),RANK(BA56,BA$11:INDIRECT(BA$7,FALSE)),"")</f>
      </c>
      <c r="BC56" s="116"/>
      <c r="BD56" s="117">
        <f t="shared" si="163"/>
      </c>
      <c r="BE56" s="120">
        <f>IF(AND($F$8&lt;4,BD56&lt;&gt;""),HLOOKUP(MATCH(ER56,EZ56:FB56,0),Discards,1,FALSE),"")</f>
      </c>
      <c r="BF56" s="117">
        <f t="shared" si="204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4"/>
      </c>
      <c r="BK56" s="21"/>
      <c r="BL56" s="114">
        <f t="shared" si="205"/>
      </c>
      <c r="BM56" s="114">
        <f t="shared" si="206"/>
        <v>0</v>
      </c>
      <c r="BN56" s="115">
        <f ca="1">IF(OR(BI56&lt;&gt;"",BK56&lt;&gt;""),RANK(BM56,BM$11:INDIRECT(BM$7,FALSE)),"")</f>
      </c>
      <c r="BO56" s="116"/>
      <c r="BP56" s="117">
        <f t="shared" si="165"/>
      </c>
      <c r="BQ56" s="120">
        <f>IF(AND($F$8&lt;5,BP56&lt;&gt;""),HLOOKUP(MATCH(ES56,EZ56:FC56,0),Discards,1,FALSE),"")</f>
      </c>
      <c r="BR56" s="117">
        <f t="shared" si="207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6"/>
      </c>
      <c r="BW56" s="21"/>
      <c r="BX56" s="114">
        <f t="shared" si="208"/>
      </c>
      <c r="BY56" s="114">
        <f t="shared" si="209"/>
        <v>0</v>
      </c>
      <c r="BZ56" s="115">
        <f ca="1">IF(OR(BU56&lt;&gt;"",BW56&lt;&gt;""),RANK(BY56,BY$11:INDIRECT(BY$7,FALSE)),"")</f>
      </c>
      <c r="CA56" s="116"/>
      <c r="CB56" s="117">
        <f t="shared" si="167"/>
      </c>
      <c r="CC56" s="120">
        <f>IF(AND($F$8&lt;6,CB56&lt;&gt;""),HLOOKUP(MATCH(ET56,EZ56:FD56,0),Discards,1,FALSE),"")</f>
      </c>
      <c r="CD56" s="117">
        <f t="shared" si="210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8"/>
      </c>
      <c r="CI56" s="21"/>
      <c r="CJ56" s="114">
        <f t="shared" si="211"/>
      </c>
      <c r="CK56" s="114">
        <f t="shared" si="212"/>
        <v>0</v>
      </c>
      <c r="CL56" s="115">
        <f ca="1">IF(OR(CG56&lt;&gt;"",CI56&lt;&gt;""),RANK(CK56,CK$11:INDIRECT(CK$7,FALSE)),"")</f>
      </c>
      <c r="CM56" s="116"/>
      <c r="CN56" s="117">
        <f t="shared" si="169"/>
      </c>
      <c r="CO56" s="120">
        <f>IF(AND($F$8&lt;7,CN56&lt;&gt;""),HLOOKUP(MATCH(EU56,EZ56:FE56,0),Discards,1,FALSE),"")</f>
      </c>
      <c r="CP56" s="117">
        <f t="shared" si="213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0"/>
      </c>
      <c r="CU56" s="21"/>
      <c r="CV56" s="114">
        <f t="shared" si="214"/>
      </c>
      <c r="CW56" s="114">
        <f t="shared" si="215"/>
        <v>0</v>
      </c>
      <c r="CX56" s="115">
        <f ca="1">IF(OR(CS56&lt;&gt;"",CU56&lt;&gt;""),RANK(CW56,CW$11:INDIRECT(CW$7,FALSE)),"")</f>
      </c>
      <c r="CY56" s="116"/>
      <c r="CZ56" s="117">
        <f t="shared" si="171"/>
      </c>
      <c r="DA56" s="120">
        <f>IF(AND($F$8&lt;8,CZ56&lt;&gt;""),HLOOKUP(MATCH(EV56,EZ56:FF56,0),Discards,1,FALSE),"")</f>
      </c>
      <c r="DB56" s="117">
        <f t="shared" si="216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2"/>
      </c>
      <c r="DG56" s="21"/>
      <c r="DH56" s="114">
        <f t="shared" si="217"/>
      </c>
      <c r="DI56" s="114">
        <f t="shared" si="218"/>
        <v>0</v>
      </c>
      <c r="DJ56" s="115">
        <f ca="1">IF(OR(DE56&lt;&gt;"",DG56&lt;&gt;""),RANK(DI56,DI$11:INDIRECT(DI$7,FALSE)),"")</f>
      </c>
      <c r="DK56" s="116"/>
      <c r="DL56" s="117">
        <f t="shared" si="173"/>
      </c>
      <c r="DM56" s="120">
        <f>IF(AND($F$8&lt;9,DL56&lt;&gt;""),HLOOKUP(MATCH(EW56,EZ56:FG56,0),Discards,1,FALSE),"")</f>
      </c>
      <c r="DN56" s="117">
        <f t="shared" si="219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4"/>
      </c>
      <c r="DS56" s="21"/>
      <c r="DT56" s="114">
        <f t="shared" si="220"/>
      </c>
      <c r="DU56" s="114">
        <f t="shared" si="221"/>
        <v>0</v>
      </c>
      <c r="DV56" s="115">
        <f ca="1">IF(OR(DQ56&lt;&gt;"",DS56&lt;&gt;""),RANK(DU56,DU$11:INDIRECT(DU$7,FALSE)),"")</f>
      </c>
      <c r="DW56" s="116"/>
      <c r="DX56" s="117">
        <f t="shared" si="175"/>
      </c>
      <c r="DY56" s="120">
        <f>IF(AND($F$8&lt;10,DX56&lt;&gt;""),HLOOKUP(MATCH(EX56,EZ56:FH56,0),Discards,1,FALSE),"")</f>
      </c>
      <c r="DZ56" s="117">
        <f t="shared" si="222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6"/>
      </c>
      <c r="EE56" s="21"/>
      <c r="EF56" s="114">
        <f t="shared" si="223"/>
      </c>
      <c r="EG56" s="114">
        <f t="shared" si="224"/>
        <v>0</v>
      </c>
      <c r="EH56" s="115">
        <f ca="1">IF(OR(EC56&lt;&gt;"",EE56&lt;&gt;""),RANK(EG56,EG$11:INDIRECT(EG$7,FALSE)),"")</f>
      </c>
      <c r="EI56" s="116"/>
      <c r="EJ56" s="117">
        <f t="shared" si="177"/>
      </c>
      <c r="EK56" s="120">
        <f>IF(AND($F$8&lt;11,EJ56&lt;&gt;""),HLOOKUP(MATCH(EY56,EZ56:FI56,0),Discards,1,FALSE),"")</f>
      </c>
      <c r="EL56" s="117">
        <f t="shared" si="225"/>
        <v>0</v>
      </c>
      <c r="EM56" s="118">
        <f ca="1">IF(OR(EC56&lt;&gt;"",EE56&lt;&gt;""),RANK(EL56,EL$11:INDIRECT(EL$7,FALSE)),"")</f>
      </c>
      <c r="EN56" s="121"/>
      <c r="EP56" s="112">
        <f t="shared" si="247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8"/>
      </c>
      <c r="FA56" s="28">
        <f t="shared" si="179"/>
      </c>
      <c r="FB56" s="28">
        <f t="shared" si="180"/>
      </c>
      <c r="FC56" s="28">
        <f t="shared" si="181"/>
      </c>
      <c r="FD56" s="28">
        <f t="shared" si="182"/>
      </c>
      <c r="FE56" s="28">
        <f t="shared" si="183"/>
      </c>
      <c r="FF56" s="28">
        <f t="shared" si="184"/>
      </c>
      <c r="FG56" s="28">
        <f t="shared" si="185"/>
      </c>
      <c r="FH56" s="28">
        <f t="shared" si="186"/>
      </c>
      <c r="FI56" s="28">
        <f t="shared" si="187"/>
      </c>
      <c r="FL56" s="26">
        <f t="shared" si="226"/>
        <v>255000000</v>
      </c>
      <c r="FM56" s="26">
        <f t="shared" si="227"/>
        <v>255000</v>
      </c>
      <c r="FN56" s="26">
        <f t="shared" si="228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29"/>
        <v>0</v>
      </c>
      <c r="FR56" s="26">
        <f t="shared" si="230"/>
        <v>0</v>
      </c>
      <c r="FS56" s="26">
        <f t="shared" si="231"/>
        <v>0</v>
      </c>
      <c r="FT56" s="26">
        <f t="shared" si="232"/>
      </c>
      <c r="FU56" s="26">
        <f t="shared" si="233"/>
        <v>24</v>
      </c>
      <c r="FV56" s="28">
        <f t="shared" si="248"/>
      </c>
      <c r="FW56" s="26">
        <f t="shared" si="246"/>
      </c>
      <c r="FX56" s="28">
        <f t="shared" si="234"/>
      </c>
      <c r="FY56" s="26">
        <f ca="1">IF(FX56&lt;&gt;"",RANK(FX56,FX$11:INDIRECT(FX$7,FALSE)),"")</f>
      </c>
      <c r="FZ56" s="26">
        <f t="shared" si="235"/>
      </c>
      <c r="GA56" s="26">
        <f t="shared" si="81"/>
      </c>
      <c r="GC56" s="27">
        <f t="shared" si="188"/>
      </c>
      <c r="GD56" s="27">
        <f t="shared" si="189"/>
      </c>
      <c r="GE56" s="27">
        <f t="shared" si="236"/>
      </c>
      <c r="GF56" s="27">
        <f t="shared" si="237"/>
      </c>
      <c r="GG56" s="27">
        <f t="shared" si="238"/>
        <v>0</v>
      </c>
      <c r="GH56" s="26">
        <f t="shared" si="239"/>
        <v>0</v>
      </c>
      <c r="GI56" s="26">
        <f t="shared" si="240"/>
        <v>0</v>
      </c>
      <c r="GJ56" s="26">
        <f t="shared" si="241"/>
        <v>0</v>
      </c>
      <c r="GK56" s="26">
        <f t="shared" si="242"/>
      </c>
      <c r="GL56" s="28">
        <f t="shared" si="243"/>
      </c>
      <c r="GM56" s="26">
        <f t="shared" si="244"/>
      </c>
    </row>
    <row r="57" spans="1:195" ht="12.75">
      <c r="A57" s="132">
        <f t="shared" si="245"/>
        <v>47</v>
      </c>
      <c r="B57" s="133"/>
      <c r="C57" s="134"/>
      <c r="D57" s="135"/>
      <c r="E57" s="134"/>
      <c r="F57" s="134" t="s">
        <v>19</v>
      </c>
      <c r="G57" s="149"/>
      <c r="H57" s="136">
        <f t="shared" si="190"/>
      </c>
      <c r="I57" s="137">
        <f t="shared" si="191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2"/>
      </c>
      <c r="M57" s="137">
        <f t="shared" si="193"/>
        <v>0</v>
      </c>
      <c r="N57" s="138">
        <f t="shared" si="159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4"/>
      </c>
      <c r="AB57" s="21"/>
      <c r="AC57" s="114">
        <f t="shared" si="195"/>
      </c>
      <c r="AD57" s="114">
        <f t="shared" si="196"/>
        <v>0</v>
      </c>
      <c r="AE57" s="115">
        <f ca="1">IF(OR(Z57&lt;&gt;"",AB57&lt;&gt;""),RANK(AD57,AD$11:INDIRECT(AD$7,FALSE)),"")</f>
      </c>
      <c r="AF57" s="116"/>
      <c r="AG57" s="117">
        <f t="shared" si="197"/>
      </c>
      <c r="AH57" s="117">
        <f t="shared" si="198"/>
        <v>0</v>
      </c>
      <c r="AI57" s="118">
        <f ca="1">IF(OR(Z57&lt;&gt;"",AB57&lt;&gt;""),RANK(AH57,AH$11:INDIRECT(AH$7,FALSE)),"")</f>
      </c>
      <c r="AJ57" s="119"/>
      <c r="AK57" s="5"/>
      <c r="AL57" s="113">
        <f t="shared" si="199"/>
      </c>
      <c r="AM57" s="21"/>
      <c r="AN57" s="114">
        <f t="shared" si="200"/>
      </c>
      <c r="AO57" s="114">
        <f t="shared" si="201"/>
        <v>0</v>
      </c>
      <c r="AP57" s="115">
        <f ca="1">IF(OR(AK57&lt;&gt;"",AM57&lt;&gt;""),RANK(AO57,AO$11:INDIRECT(AO$7,FALSE)),"")</f>
      </c>
      <c r="AQ57" s="116"/>
      <c r="AR57" s="117">
        <f t="shared" si="160"/>
      </c>
      <c r="AS57" s="120">
        <f>IF(AND($F$8&lt;3,AR57&lt;&gt;""),HLOOKUP(MATCH(EQ57,EZ57:FA57,0),Discards,1,FALSE),"")</f>
      </c>
      <c r="AT57" s="117">
        <f t="shared" si="161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2"/>
      </c>
      <c r="AY57" s="21"/>
      <c r="AZ57" s="114">
        <f t="shared" si="202"/>
      </c>
      <c r="BA57" s="114">
        <f t="shared" si="203"/>
        <v>0</v>
      </c>
      <c r="BB57" s="115">
        <f ca="1">IF(OR(AW57&lt;&gt;"",AY57&lt;&gt;""),RANK(BA57,BA$11:INDIRECT(BA$7,FALSE)),"")</f>
      </c>
      <c r="BC57" s="116"/>
      <c r="BD57" s="117">
        <f t="shared" si="163"/>
      </c>
      <c r="BE57" s="120">
        <f>IF(AND($F$8&lt;4,BD57&lt;&gt;""),HLOOKUP(MATCH(ER57,EZ57:FB57,0),Discards,1,FALSE),"")</f>
      </c>
      <c r="BF57" s="117">
        <f t="shared" si="204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4"/>
      </c>
      <c r="BK57" s="21"/>
      <c r="BL57" s="114">
        <f t="shared" si="205"/>
      </c>
      <c r="BM57" s="114">
        <f t="shared" si="206"/>
        <v>0</v>
      </c>
      <c r="BN57" s="115">
        <f ca="1">IF(OR(BI57&lt;&gt;"",BK57&lt;&gt;""),RANK(BM57,BM$11:INDIRECT(BM$7,FALSE)),"")</f>
      </c>
      <c r="BO57" s="116"/>
      <c r="BP57" s="117">
        <f t="shared" si="165"/>
      </c>
      <c r="BQ57" s="120">
        <f>IF(AND($F$8&lt;5,BP57&lt;&gt;""),HLOOKUP(MATCH(ES57,EZ57:FC57,0),Discards,1,FALSE),"")</f>
      </c>
      <c r="BR57" s="117">
        <f t="shared" si="207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6"/>
      </c>
      <c r="BW57" s="21"/>
      <c r="BX57" s="114">
        <f t="shared" si="208"/>
      </c>
      <c r="BY57" s="114">
        <f t="shared" si="209"/>
        <v>0</v>
      </c>
      <c r="BZ57" s="115">
        <f ca="1">IF(OR(BU57&lt;&gt;"",BW57&lt;&gt;""),RANK(BY57,BY$11:INDIRECT(BY$7,FALSE)),"")</f>
      </c>
      <c r="CA57" s="116"/>
      <c r="CB57" s="117">
        <f t="shared" si="167"/>
      </c>
      <c r="CC57" s="120">
        <f>IF(AND($F$8&lt;6,CB57&lt;&gt;""),HLOOKUP(MATCH(ET57,EZ57:FD57,0),Discards,1,FALSE),"")</f>
      </c>
      <c r="CD57" s="117">
        <f t="shared" si="210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8"/>
      </c>
      <c r="CI57" s="21"/>
      <c r="CJ57" s="114">
        <f t="shared" si="211"/>
      </c>
      <c r="CK57" s="114">
        <f t="shared" si="212"/>
        <v>0</v>
      </c>
      <c r="CL57" s="115">
        <f ca="1">IF(OR(CG57&lt;&gt;"",CI57&lt;&gt;""),RANK(CK57,CK$11:INDIRECT(CK$7,FALSE)),"")</f>
      </c>
      <c r="CM57" s="116"/>
      <c r="CN57" s="117">
        <f t="shared" si="169"/>
      </c>
      <c r="CO57" s="120">
        <f>IF(AND($F$8&lt;7,CN57&lt;&gt;""),HLOOKUP(MATCH(EU57,EZ57:FE57,0),Discards,1,FALSE),"")</f>
      </c>
      <c r="CP57" s="117">
        <f t="shared" si="213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0"/>
      </c>
      <c r="CU57" s="21"/>
      <c r="CV57" s="114">
        <f t="shared" si="214"/>
      </c>
      <c r="CW57" s="114">
        <f t="shared" si="215"/>
        <v>0</v>
      </c>
      <c r="CX57" s="115">
        <f ca="1">IF(OR(CS57&lt;&gt;"",CU57&lt;&gt;""),RANK(CW57,CW$11:INDIRECT(CW$7,FALSE)),"")</f>
      </c>
      <c r="CY57" s="116"/>
      <c r="CZ57" s="117">
        <f t="shared" si="171"/>
      </c>
      <c r="DA57" s="120">
        <f>IF(AND($F$8&lt;8,CZ57&lt;&gt;""),HLOOKUP(MATCH(EV57,EZ57:FF57,0),Discards,1,FALSE),"")</f>
      </c>
      <c r="DB57" s="117">
        <f t="shared" si="216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2"/>
      </c>
      <c r="DG57" s="21"/>
      <c r="DH57" s="114">
        <f t="shared" si="217"/>
      </c>
      <c r="DI57" s="114">
        <f t="shared" si="218"/>
        <v>0</v>
      </c>
      <c r="DJ57" s="115">
        <f ca="1">IF(OR(DE57&lt;&gt;"",DG57&lt;&gt;""),RANK(DI57,DI$11:INDIRECT(DI$7,FALSE)),"")</f>
      </c>
      <c r="DK57" s="116"/>
      <c r="DL57" s="117">
        <f t="shared" si="173"/>
      </c>
      <c r="DM57" s="120">
        <f>IF(AND($F$8&lt;9,DL57&lt;&gt;""),HLOOKUP(MATCH(EW57,EZ57:FG57,0),Discards,1,FALSE),"")</f>
      </c>
      <c r="DN57" s="117">
        <f t="shared" si="219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4"/>
      </c>
      <c r="DS57" s="21"/>
      <c r="DT57" s="114">
        <f t="shared" si="220"/>
      </c>
      <c r="DU57" s="114">
        <f t="shared" si="221"/>
        <v>0</v>
      </c>
      <c r="DV57" s="115">
        <f ca="1">IF(OR(DQ57&lt;&gt;"",DS57&lt;&gt;""),RANK(DU57,DU$11:INDIRECT(DU$7,FALSE)),"")</f>
      </c>
      <c r="DW57" s="116"/>
      <c r="DX57" s="117">
        <f t="shared" si="175"/>
      </c>
      <c r="DY57" s="120">
        <f>IF(AND($F$8&lt;10,DX57&lt;&gt;""),HLOOKUP(MATCH(EX57,EZ57:FH57,0),Discards,1,FALSE),"")</f>
      </c>
      <c r="DZ57" s="117">
        <f t="shared" si="222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6"/>
      </c>
      <c r="EE57" s="21"/>
      <c r="EF57" s="114">
        <f t="shared" si="223"/>
      </c>
      <c r="EG57" s="114">
        <f t="shared" si="224"/>
        <v>0</v>
      </c>
      <c r="EH57" s="115">
        <f ca="1">IF(OR(EC57&lt;&gt;"",EE57&lt;&gt;""),RANK(EG57,EG$11:INDIRECT(EG$7,FALSE)),"")</f>
      </c>
      <c r="EI57" s="116"/>
      <c r="EJ57" s="117">
        <f t="shared" si="177"/>
      </c>
      <c r="EK57" s="120">
        <f>IF(AND($F$8&lt;11,EJ57&lt;&gt;""),HLOOKUP(MATCH(EY57,EZ57:FI57,0),Discards,1,FALSE),"")</f>
      </c>
      <c r="EL57" s="117">
        <f t="shared" si="225"/>
        <v>0</v>
      </c>
      <c r="EM57" s="118">
        <f ca="1">IF(OR(EC57&lt;&gt;"",EE57&lt;&gt;""),RANK(EL57,EL$11:INDIRECT(EL$7,FALSE)),"")</f>
      </c>
      <c r="EN57" s="121"/>
      <c r="EP57" s="112">
        <f t="shared" si="247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8"/>
      </c>
      <c r="FA57" s="28">
        <f t="shared" si="179"/>
      </c>
      <c r="FB57" s="28">
        <f t="shared" si="180"/>
      </c>
      <c r="FC57" s="28">
        <f t="shared" si="181"/>
      </c>
      <c r="FD57" s="28">
        <f t="shared" si="182"/>
      </c>
      <c r="FE57" s="28">
        <f t="shared" si="183"/>
      </c>
      <c r="FF57" s="28">
        <f t="shared" si="184"/>
      </c>
      <c r="FG57" s="28">
        <f t="shared" si="185"/>
      </c>
      <c r="FH57" s="28">
        <f t="shared" si="186"/>
      </c>
      <c r="FI57" s="28">
        <f t="shared" si="187"/>
      </c>
      <c r="FL57" s="26">
        <f t="shared" si="226"/>
        <v>255000000</v>
      </c>
      <c r="FM57" s="26">
        <f t="shared" si="227"/>
        <v>255000</v>
      </c>
      <c r="FN57" s="26">
        <f t="shared" si="228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29"/>
        <v>0</v>
      </c>
      <c r="FR57" s="26">
        <f t="shared" si="230"/>
        <v>0</v>
      </c>
      <c r="FS57" s="26">
        <f t="shared" si="231"/>
        <v>0</v>
      </c>
      <c r="FT57" s="26">
        <f t="shared" si="232"/>
      </c>
      <c r="FU57" s="26">
        <f t="shared" si="233"/>
        <v>24</v>
      </c>
      <c r="FV57" s="28">
        <f t="shared" si="248"/>
      </c>
      <c r="FW57" s="26">
        <f t="shared" si="246"/>
      </c>
      <c r="FX57" s="28">
        <f t="shared" si="234"/>
      </c>
      <c r="FY57" s="26">
        <f ca="1">IF(FX57&lt;&gt;"",RANK(FX57,FX$11:INDIRECT(FX$7,FALSE)),"")</f>
      </c>
      <c r="FZ57" s="26">
        <f t="shared" si="235"/>
      </c>
      <c r="GA57" s="26">
        <f t="shared" si="81"/>
      </c>
      <c r="GC57" s="27">
        <f t="shared" si="188"/>
      </c>
      <c r="GD57" s="27">
        <f t="shared" si="189"/>
      </c>
      <c r="GE57" s="27">
        <f t="shared" si="236"/>
      </c>
      <c r="GF57" s="27">
        <f t="shared" si="237"/>
      </c>
      <c r="GG57" s="27">
        <f t="shared" si="238"/>
        <v>0</v>
      </c>
      <c r="GH57" s="26">
        <f t="shared" si="239"/>
        <v>0</v>
      </c>
      <c r="GI57" s="26">
        <f t="shared" si="240"/>
        <v>0</v>
      </c>
      <c r="GJ57" s="26">
        <f t="shared" si="241"/>
        <v>0</v>
      </c>
      <c r="GK57" s="26">
        <f t="shared" si="242"/>
      </c>
      <c r="GL57" s="28">
        <f t="shared" si="243"/>
      </c>
      <c r="GM57" s="26">
        <f t="shared" si="244"/>
      </c>
    </row>
    <row r="58" spans="1:195" ht="12.75">
      <c r="A58" s="132">
        <f t="shared" si="245"/>
        <v>48</v>
      </c>
      <c r="B58" s="133"/>
      <c r="C58" s="134"/>
      <c r="D58" s="135"/>
      <c r="E58" s="134"/>
      <c r="F58" s="134" t="s">
        <v>19</v>
      </c>
      <c r="G58" s="149"/>
      <c r="H58" s="136">
        <f t="shared" si="190"/>
      </c>
      <c r="I58" s="137">
        <f t="shared" si="191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2"/>
      </c>
      <c r="M58" s="137">
        <f t="shared" si="193"/>
        <v>0</v>
      </c>
      <c r="N58" s="138">
        <f t="shared" si="159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4"/>
      </c>
      <c r="AB58" s="21"/>
      <c r="AC58" s="114">
        <f t="shared" si="195"/>
      </c>
      <c r="AD58" s="114">
        <f t="shared" si="196"/>
        <v>0</v>
      </c>
      <c r="AE58" s="115">
        <f ca="1">IF(OR(Z58&lt;&gt;"",AB58&lt;&gt;""),RANK(AD58,AD$11:INDIRECT(AD$7,FALSE)),"")</f>
      </c>
      <c r="AF58" s="116"/>
      <c r="AG58" s="117">
        <f t="shared" si="197"/>
      </c>
      <c r="AH58" s="117">
        <f t="shared" si="198"/>
        <v>0</v>
      </c>
      <c r="AI58" s="118">
        <f ca="1">IF(OR(Z58&lt;&gt;"",AB58&lt;&gt;""),RANK(AH58,AH$11:INDIRECT(AH$7,FALSE)),"")</f>
      </c>
      <c r="AJ58" s="119"/>
      <c r="AK58" s="5"/>
      <c r="AL58" s="113">
        <f t="shared" si="199"/>
      </c>
      <c r="AM58" s="21"/>
      <c r="AN58" s="114">
        <f t="shared" si="200"/>
      </c>
      <c r="AO58" s="114">
        <f t="shared" si="201"/>
        <v>0</v>
      </c>
      <c r="AP58" s="115">
        <f ca="1">IF(OR(AK58&lt;&gt;"",AM58&lt;&gt;""),RANK(AO58,AO$11:INDIRECT(AO$7,FALSE)),"")</f>
      </c>
      <c r="AQ58" s="116"/>
      <c r="AR58" s="117">
        <f t="shared" si="160"/>
      </c>
      <c r="AS58" s="120">
        <f>IF(AND($F$8&lt;3,AR58&lt;&gt;""),HLOOKUP(MATCH(EQ58,EZ58:FA58,0),Discards,1,FALSE),"")</f>
      </c>
      <c r="AT58" s="117">
        <f t="shared" si="161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2"/>
      </c>
      <c r="AY58" s="21"/>
      <c r="AZ58" s="114">
        <f t="shared" si="202"/>
      </c>
      <c r="BA58" s="114">
        <f t="shared" si="203"/>
        <v>0</v>
      </c>
      <c r="BB58" s="115">
        <f ca="1">IF(OR(AW58&lt;&gt;"",AY58&lt;&gt;""),RANK(BA58,BA$11:INDIRECT(BA$7,FALSE)),"")</f>
      </c>
      <c r="BC58" s="116"/>
      <c r="BD58" s="117">
        <f t="shared" si="163"/>
      </c>
      <c r="BE58" s="120">
        <f>IF(AND($F$8&lt;4,BD58&lt;&gt;""),HLOOKUP(MATCH(ER58,EZ58:FB58,0),Discards,1,FALSE),"")</f>
      </c>
      <c r="BF58" s="117">
        <f t="shared" si="204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4"/>
      </c>
      <c r="BK58" s="21"/>
      <c r="BL58" s="114">
        <f t="shared" si="205"/>
      </c>
      <c r="BM58" s="114">
        <f t="shared" si="206"/>
        <v>0</v>
      </c>
      <c r="BN58" s="115">
        <f ca="1">IF(OR(BI58&lt;&gt;"",BK58&lt;&gt;""),RANK(BM58,BM$11:INDIRECT(BM$7,FALSE)),"")</f>
      </c>
      <c r="BO58" s="116"/>
      <c r="BP58" s="117">
        <f t="shared" si="165"/>
      </c>
      <c r="BQ58" s="120">
        <f>IF(AND($F$8&lt;5,BP58&lt;&gt;""),HLOOKUP(MATCH(ES58,EZ58:FC58,0),Discards,1,FALSE),"")</f>
      </c>
      <c r="BR58" s="117">
        <f t="shared" si="207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6"/>
      </c>
      <c r="BW58" s="21"/>
      <c r="BX58" s="114">
        <f t="shared" si="208"/>
      </c>
      <c r="BY58" s="114">
        <f t="shared" si="209"/>
        <v>0</v>
      </c>
      <c r="BZ58" s="115">
        <f ca="1">IF(OR(BU58&lt;&gt;"",BW58&lt;&gt;""),RANK(BY58,BY$11:INDIRECT(BY$7,FALSE)),"")</f>
      </c>
      <c r="CA58" s="116"/>
      <c r="CB58" s="117">
        <f t="shared" si="167"/>
      </c>
      <c r="CC58" s="120">
        <f>IF(AND($F$8&lt;6,CB58&lt;&gt;""),HLOOKUP(MATCH(ET58,EZ58:FD58,0),Discards,1,FALSE),"")</f>
      </c>
      <c r="CD58" s="117">
        <f t="shared" si="210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8"/>
      </c>
      <c r="CI58" s="21"/>
      <c r="CJ58" s="114">
        <f t="shared" si="211"/>
      </c>
      <c r="CK58" s="114">
        <f t="shared" si="212"/>
        <v>0</v>
      </c>
      <c r="CL58" s="115">
        <f ca="1">IF(OR(CG58&lt;&gt;"",CI58&lt;&gt;""),RANK(CK58,CK$11:INDIRECT(CK$7,FALSE)),"")</f>
      </c>
      <c r="CM58" s="116"/>
      <c r="CN58" s="117">
        <f t="shared" si="169"/>
      </c>
      <c r="CO58" s="120">
        <f>IF(AND($F$8&lt;7,CN58&lt;&gt;""),HLOOKUP(MATCH(EU58,EZ58:FE58,0),Discards,1,FALSE),"")</f>
      </c>
      <c r="CP58" s="117">
        <f t="shared" si="213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0"/>
      </c>
      <c r="CU58" s="21"/>
      <c r="CV58" s="114">
        <f t="shared" si="214"/>
      </c>
      <c r="CW58" s="114">
        <f t="shared" si="215"/>
        <v>0</v>
      </c>
      <c r="CX58" s="115">
        <f ca="1">IF(OR(CS58&lt;&gt;"",CU58&lt;&gt;""),RANK(CW58,CW$11:INDIRECT(CW$7,FALSE)),"")</f>
      </c>
      <c r="CY58" s="116"/>
      <c r="CZ58" s="117">
        <f t="shared" si="171"/>
      </c>
      <c r="DA58" s="120">
        <f>IF(AND($F$8&lt;8,CZ58&lt;&gt;""),HLOOKUP(MATCH(EV58,EZ58:FF58,0),Discards,1,FALSE),"")</f>
      </c>
      <c r="DB58" s="117">
        <f t="shared" si="216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2"/>
      </c>
      <c r="DG58" s="21"/>
      <c r="DH58" s="114">
        <f t="shared" si="217"/>
      </c>
      <c r="DI58" s="114">
        <f t="shared" si="218"/>
        <v>0</v>
      </c>
      <c r="DJ58" s="115">
        <f ca="1">IF(OR(DE58&lt;&gt;"",DG58&lt;&gt;""),RANK(DI58,DI$11:INDIRECT(DI$7,FALSE)),"")</f>
      </c>
      <c r="DK58" s="116"/>
      <c r="DL58" s="117">
        <f t="shared" si="173"/>
      </c>
      <c r="DM58" s="120">
        <f>IF(AND($F$8&lt;9,DL58&lt;&gt;""),HLOOKUP(MATCH(EW58,EZ58:FG58,0),Discards,1,FALSE),"")</f>
      </c>
      <c r="DN58" s="117">
        <f t="shared" si="219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4"/>
      </c>
      <c r="DS58" s="21"/>
      <c r="DT58" s="114">
        <f t="shared" si="220"/>
      </c>
      <c r="DU58" s="114">
        <f t="shared" si="221"/>
        <v>0</v>
      </c>
      <c r="DV58" s="115">
        <f ca="1">IF(OR(DQ58&lt;&gt;"",DS58&lt;&gt;""),RANK(DU58,DU$11:INDIRECT(DU$7,FALSE)),"")</f>
      </c>
      <c r="DW58" s="116"/>
      <c r="DX58" s="117">
        <f t="shared" si="175"/>
      </c>
      <c r="DY58" s="120">
        <f>IF(AND($F$8&lt;10,DX58&lt;&gt;""),HLOOKUP(MATCH(EX58,EZ58:FH58,0),Discards,1,FALSE),"")</f>
      </c>
      <c r="DZ58" s="117">
        <f t="shared" si="222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6"/>
      </c>
      <c r="EE58" s="21"/>
      <c r="EF58" s="114">
        <f t="shared" si="223"/>
      </c>
      <c r="EG58" s="114">
        <f t="shared" si="224"/>
        <v>0</v>
      </c>
      <c r="EH58" s="115">
        <f ca="1">IF(OR(EC58&lt;&gt;"",EE58&lt;&gt;""),RANK(EG58,EG$11:INDIRECT(EG$7,FALSE)),"")</f>
      </c>
      <c r="EI58" s="116"/>
      <c r="EJ58" s="117">
        <f t="shared" si="177"/>
      </c>
      <c r="EK58" s="120">
        <f>IF(AND($F$8&lt;11,EJ58&lt;&gt;""),HLOOKUP(MATCH(EY58,EZ58:FI58,0),Discards,1,FALSE),"")</f>
      </c>
      <c r="EL58" s="117">
        <f t="shared" si="225"/>
        <v>0</v>
      </c>
      <c r="EM58" s="118">
        <f ca="1">IF(OR(EC58&lt;&gt;"",EE58&lt;&gt;""),RANK(EL58,EL$11:INDIRECT(EL$7,FALSE)),"")</f>
      </c>
      <c r="EN58" s="121"/>
      <c r="EP58" s="112">
        <f t="shared" si="247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8"/>
      </c>
      <c r="FA58" s="28">
        <f t="shared" si="179"/>
      </c>
      <c r="FB58" s="28">
        <f t="shared" si="180"/>
      </c>
      <c r="FC58" s="28">
        <f t="shared" si="181"/>
      </c>
      <c r="FD58" s="28">
        <f t="shared" si="182"/>
      </c>
      <c r="FE58" s="28">
        <f t="shared" si="183"/>
      </c>
      <c r="FF58" s="28">
        <f t="shared" si="184"/>
      </c>
      <c r="FG58" s="28">
        <f t="shared" si="185"/>
      </c>
      <c r="FH58" s="28">
        <f t="shared" si="186"/>
      </c>
      <c r="FI58" s="28">
        <f t="shared" si="187"/>
      </c>
      <c r="FL58" s="26">
        <f t="shared" si="226"/>
        <v>255000000</v>
      </c>
      <c r="FM58" s="26">
        <f t="shared" si="227"/>
        <v>255000</v>
      </c>
      <c r="FN58" s="26">
        <f t="shared" si="228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29"/>
        <v>0</v>
      </c>
      <c r="FR58" s="26">
        <f t="shared" si="230"/>
        <v>0</v>
      </c>
      <c r="FS58" s="26">
        <f t="shared" si="231"/>
        <v>0</v>
      </c>
      <c r="FT58" s="26">
        <f t="shared" si="232"/>
      </c>
      <c r="FU58" s="26">
        <f t="shared" si="233"/>
        <v>24</v>
      </c>
      <c r="FV58" s="28">
        <f t="shared" si="248"/>
      </c>
      <c r="FW58" s="26">
        <f t="shared" si="246"/>
      </c>
      <c r="FX58" s="28">
        <f t="shared" si="234"/>
      </c>
      <c r="FY58" s="26">
        <f ca="1">IF(FX58&lt;&gt;"",RANK(FX58,FX$11:INDIRECT(FX$7,FALSE)),"")</f>
      </c>
      <c r="FZ58" s="26">
        <f t="shared" si="235"/>
      </c>
      <c r="GA58" s="26">
        <f t="shared" si="81"/>
      </c>
      <c r="GC58" s="27">
        <f t="shared" si="188"/>
      </c>
      <c r="GD58" s="27">
        <f t="shared" si="189"/>
      </c>
      <c r="GE58" s="27">
        <f t="shared" si="236"/>
      </c>
      <c r="GF58" s="27">
        <f t="shared" si="237"/>
      </c>
      <c r="GG58" s="27">
        <f t="shared" si="238"/>
        <v>0</v>
      </c>
      <c r="GH58" s="26">
        <f t="shared" si="239"/>
        <v>0</v>
      </c>
      <c r="GI58" s="26">
        <f t="shared" si="240"/>
        <v>0</v>
      </c>
      <c r="GJ58" s="26">
        <f t="shared" si="241"/>
        <v>0</v>
      </c>
      <c r="GK58" s="26">
        <f t="shared" si="242"/>
      </c>
      <c r="GL58" s="28">
        <f t="shared" si="243"/>
      </c>
      <c r="GM58" s="26">
        <f t="shared" si="244"/>
      </c>
    </row>
    <row r="59" spans="1:195" ht="12.75">
      <c r="A59" s="16">
        <f t="shared" si="245"/>
        <v>49</v>
      </c>
      <c r="B59" s="17"/>
      <c r="C59" s="18"/>
      <c r="D59" s="19"/>
      <c r="E59" s="18"/>
      <c r="F59" s="18" t="s">
        <v>19</v>
      </c>
      <c r="G59" s="148"/>
      <c r="H59" s="122">
        <f t="shared" si="190"/>
      </c>
      <c r="I59" s="30">
        <f t="shared" si="191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2"/>
      </c>
      <c r="M59" s="102">
        <f t="shared" si="193"/>
        <v>0</v>
      </c>
      <c r="N59" s="51">
        <f t="shared" si="159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4"/>
      </c>
      <c r="AB59" s="20"/>
      <c r="AC59" s="104">
        <f t="shared" si="195"/>
      </c>
      <c r="AD59" s="104">
        <f t="shared" si="196"/>
        <v>0</v>
      </c>
      <c r="AE59" s="105">
        <f ca="1">IF(OR(Z59&lt;&gt;"",AB59&lt;&gt;""),RANK(AD59,AD$11:INDIRECT(AD$7,FALSE)),"")</f>
      </c>
      <c r="AF59" s="106"/>
      <c r="AG59" s="107">
        <f t="shared" si="197"/>
      </c>
      <c r="AH59" s="107">
        <f t="shared" si="198"/>
        <v>0</v>
      </c>
      <c r="AI59" s="108">
        <f ca="1">IF(OR(Z59&lt;&gt;"",AB59&lt;&gt;""),RANK(AH59,AH$11:INDIRECT(AH$7,FALSE)),"")</f>
      </c>
      <c r="AJ59" s="109"/>
      <c r="AK59" s="4"/>
      <c r="AL59" s="103">
        <f t="shared" si="199"/>
      </c>
      <c r="AM59" s="20"/>
      <c r="AN59" s="104">
        <f t="shared" si="200"/>
      </c>
      <c r="AO59" s="104">
        <f t="shared" si="201"/>
        <v>0</v>
      </c>
      <c r="AP59" s="105">
        <f ca="1">IF(OR(AK59&lt;&gt;"",AM59&lt;&gt;""),RANK(AO59,AO$11:INDIRECT(AO$7,FALSE)),"")</f>
      </c>
      <c r="AQ59" s="106"/>
      <c r="AR59" s="107">
        <f t="shared" si="160"/>
      </c>
      <c r="AS59" s="110">
        <f>IF(AND($F$8&lt;3,AR59&lt;&gt;""),HLOOKUP(MATCH(EQ59,EZ59:FA59,0),Discards,1,FALSE),"")</f>
      </c>
      <c r="AT59" s="107">
        <f t="shared" si="161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2"/>
      </c>
      <c r="BA59" s="104">
        <f t="shared" si="203"/>
        <v>0</v>
      </c>
      <c r="BB59" s="105">
        <f ca="1">IF(OR(AW59&lt;&gt;"",AY59&lt;&gt;""),RANK(BA59,BA$11:INDIRECT(BA$7,FALSE)),"")</f>
      </c>
      <c r="BC59" s="106"/>
      <c r="BD59" s="107">
        <f t="shared" si="163"/>
      </c>
      <c r="BE59" s="110">
        <f>IF(AND($F$8&lt;4,BD59&lt;&gt;""),HLOOKUP(MATCH(ER59,EZ59:FB59,0),Discards,1,FALSE),"")</f>
      </c>
      <c r="BF59" s="107">
        <f t="shared" si="204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5"/>
      </c>
      <c r="BM59" s="104">
        <f t="shared" si="206"/>
        <v>0</v>
      </c>
      <c r="BN59" s="105">
        <f ca="1">IF(OR(BI59&lt;&gt;"",BK59&lt;&gt;""),RANK(BM59,BM$11:INDIRECT(BM$7,FALSE)),"")</f>
      </c>
      <c r="BO59" s="106"/>
      <c r="BP59" s="107">
        <f t="shared" si="165"/>
      </c>
      <c r="BQ59" s="110">
        <f>IF(AND($F$8&lt;5,BP59&lt;&gt;""),HLOOKUP(MATCH(ES59,EZ59:FC59,0),Discards,1,FALSE),"")</f>
      </c>
      <c r="BR59" s="107">
        <f t="shared" si="207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8"/>
      </c>
      <c r="BY59" s="104">
        <f t="shared" si="209"/>
        <v>0</v>
      </c>
      <c r="BZ59" s="105">
        <f ca="1">IF(OR(BU59&lt;&gt;"",BW59&lt;&gt;""),RANK(BY59,BY$11:INDIRECT(BY$7,FALSE)),"")</f>
      </c>
      <c r="CA59" s="106"/>
      <c r="CB59" s="107">
        <f t="shared" si="167"/>
      </c>
      <c r="CC59" s="110">
        <f>IF(AND($F$8&lt;6,CB59&lt;&gt;""),HLOOKUP(MATCH(ET59,EZ59:FD59,0),Discards,1,FALSE),"")</f>
      </c>
      <c r="CD59" s="107">
        <f t="shared" si="210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1"/>
      </c>
      <c r="CK59" s="104">
        <f t="shared" si="212"/>
        <v>0</v>
      </c>
      <c r="CL59" s="105">
        <f ca="1">IF(OR(CG59&lt;&gt;"",CI59&lt;&gt;""),RANK(CK59,CK$11:INDIRECT(CK$7,FALSE)),"")</f>
      </c>
      <c r="CM59" s="106"/>
      <c r="CN59" s="107">
        <f t="shared" si="169"/>
      </c>
      <c r="CO59" s="110">
        <f>IF(AND($F$8&lt;7,CN59&lt;&gt;""),HLOOKUP(MATCH(EU59,EZ59:FE59,0),Discards,1,FALSE),"")</f>
      </c>
      <c r="CP59" s="107">
        <f t="shared" si="213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4"/>
      </c>
      <c r="CW59" s="104">
        <f t="shared" si="215"/>
        <v>0</v>
      </c>
      <c r="CX59" s="105">
        <f ca="1">IF(OR(CS59&lt;&gt;"",CU59&lt;&gt;""),RANK(CW59,CW$11:INDIRECT(CW$7,FALSE)),"")</f>
      </c>
      <c r="CY59" s="106"/>
      <c r="CZ59" s="107">
        <f t="shared" si="171"/>
      </c>
      <c r="DA59" s="110">
        <f>IF(AND($F$8&lt;8,CZ59&lt;&gt;""),HLOOKUP(MATCH(EV59,EZ59:FF59,0),Discards,1,FALSE),"")</f>
      </c>
      <c r="DB59" s="107">
        <f t="shared" si="216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7"/>
      </c>
      <c r="DI59" s="104">
        <f t="shared" si="218"/>
        <v>0</v>
      </c>
      <c r="DJ59" s="105">
        <f ca="1">IF(OR(DE59&lt;&gt;"",DG59&lt;&gt;""),RANK(DI59,DI$11:INDIRECT(DI$7,FALSE)),"")</f>
      </c>
      <c r="DK59" s="106"/>
      <c r="DL59" s="107">
        <f t="shared" si="173"/>
      </c>
      <c r="DM59" s="110">
        <f>IF(AND($F$8&lt;9,DL59&lt;&gt;""),HLOOKUP(MATCH(EW59,EZ59:FG59,0),Discards,1,FALSE),"")</f>
      </c>
      <c r="DN59" s="107">
        <f t="shared" si="219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0"/>
      </c>
      <c r="DU59" s="104">
        <f t="shared" si="221"/>
        <v>0</v>
      </c>
      <c r="DV59" s="105">
        <f ca="1">IF(OR(DQ59&lt;&gt;"",DS59&lt;&gt;""),RANK(DU59,DU$11:INDIRECT(DU$7,FALSE)),"")</f>
      </c>
      <c r="DW59" s="106"/>
      <c r="DX59" s="107">
        <f t="shared" si="175"/>
      </c>
      <c r="DY59" s="110">
        <f>IF(AND($F$8&lt;10,DX59&lt;&gt;""),HLOOKUP(MATCH(EX59,EZ59:FH59,0),Discards,1,FALSE),"")</f>
      </c>
      <c r="DZ59" s="107">
        <f t="shared" si="222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3"/>
      </c>
      <c r="EG59" s="104">
        <f t="shared" si="224"/>
        <v>0</v>
      </c>
      <c r="EH59" s="105">
        <f ca="1">IF(OR(EC59&lt;&gt;"",EE59&lt;&gt;""),RANK(EG59,EG$11:INDIRECT(EG$7,FALSE)),"")</f>
      </c>
      <c r="EI59" s="106"/>
      <c r="EJ59" s="107">
        <f t="shared" si="177"/>
      </c>
      <c r="EK59" s="110">
        <f>IF(AND($F$8&lt;11,EJ59&lt;&gt;""),HLOOKUP(MATCH(EY59,EZ59:FI59,0),Discards,1,FALSE),"")</f>
      </c>
      <c r="EL59" s="107">
        <f t="shared" si="225"/>
        <v>0</v>
      </c>
      <c r="EM59" s="108">
        <f ca="1">IF(OR(EC59&lt;&gt;"",EE59&lt;&gt;""),RANK(EL59,EL$11:INDIRECT(EL$7,FALSE)),"")</f>
      </c>
      <c r="EN59" s="111"/>
      <c r="EP59" s="112">
        <f t="shared" si="247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8"/>
      </c>
      <c r="FA59" s="28">
        <f t="shared" si="179"/>
      </c>
      <c r="FB59" s="28">
        <f t="shared" si="180"/>
      </c>
      <c r="FC59" s="28">
        <f t="shared" si="181"/>
      </c>
      <c r="FD59" s="28">
        <f t="shared" si="182"/>
      </c>
      <c r="FE59" s="28">
        <f t="shared" si="183"/>
      </c>
      <c r="FF59" s="28">
        <f t="shared" si="184"/>
      </c>
      <c r="FG59" s="28">
        <f t="shared" si="185"/>
      </c>
      <c r="FH59" s="28">
        <f t="shared" si="186"/>
      </c>
      <c r="FI59" s="28">
        <f t="shared" si="187"/>
      </c>
      <c r="FL59" s="26">
        <f t="shared" si="226"/>
        <v>255000000</v>
      </c>
      <c r="FM59" s="26">
        <f t="shared" si="227"/>
        <v>255000</v>
      </c>
      <c r="FN59" s="26">
        <f t="shared" si="228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29"/>
        <v>0</v>
      </c>
      <c r="FR59" s="26">
        <f t="shared" si="230"/>
        <v>0</v>
      </c>
      <c r="FS59" s="26">
        <f t="shared" si="231"/>
        <v>0</v>
      </c>
      <c r="FT59" s="26">
        <f t="shared" si="232"/>
      </c>
      <c r="FU59" s="26">
        <f t="shared" si="233"/>
        <v>24</v>
      </c>
      <c r="FV59" s="28">
        <f t="shared" si="248"/>
      </c>
      <c r="FW59" s="26">
        <f t="shared" si="246"/>
      </c>
      <c r="FX59" s="28">
        <f t="shared" si="234"/>
      </c>
      <c r="FY59" s="26">
        <f ca="1">IF(FX59&lt;&gt;"",RANK(FX59,FX$11:INDIRECT(FX$7,FALSE)),"")</f>
      </c>
      <c r="FZ59" s="26">
        <f t="shared" si="235"/>
      </c>
      <c r="GA59" s="26">
        <f t="shared" si="81"/>
      </c>
      <c r="GC59" s="27">
        <f t="shared" si="188"/>
      </c>
      <c r="GD59" s="27">
        <f t="shared" si="189"/>
      </c>
      <c r="GE59" s="27">
        <f t="shared" si="236"/>
      </c>
      <c r="GF59" s="27">
        <f t="shared" si="237"/>
      </c>
      <c r="GG59" s="27">
        <f t="shared" si="238"/>
        <v>0</v>
      </c>
      <c r="GH59" s="26">
        <f t="shared" si="239"/>
        <v>0</v>
      </c>
      <c r="GI59" s="26">
        <f t="shared" si="240"/>
        <v>0</v>
      </c>
      <c r="GJ59" s="26">
        <f t="shared" si="241"/>
        <v>0</v>
      </c>
      <c r="GK59" s="26">
        <f t="shared" si="242"/>
      </c>
      <c r="GL59" s="28">
        <f t="shared" si="243"/>
      </c>
      <c r="GM59" s="26">
        <f t="shared" si="244"/>
      </c>
    </row>
    <row r="60" spans="1:195" ht="12.75">
      <c r="A60" s="16">
        <f t="shared" si="245"/>
        <v>50</v>
      </c>
      <c r="B60" s="17"/>
      <c r="C60" s="18"/>
      <c r="D60" s="19"/>
      <c r="E60" s="18"/>
      <c r="F60" s="18" t="s">
        <v>19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9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0"/>
      </c>
      <c r="AS60" s="110">
        <f>IF(AND($F$8&lt;3,AR60&lt;&gt;""),HLOOKUP(MATCH(EQ60,EZ60:FA60,0),Discards,1,FALSE),"")</f>
      </c>
      <c r="AT60" s="107">
        <f t="shared" si="161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3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5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7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9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1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3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5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7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8"/>
      </c>
      <c r="FA60" s="28">
        <f t="shared" si="179"/>
      </c>
      <c r="FB60" s="28">
        <f t="shared" si="180"/>
      </c>
      <c r="FC60" s="28">
        <f t="shared" si="181"/>
      </c>
      <c r="FD60" s="28">
        <f t="shared" si="182"/>
      </c>
      <c r="FE60" s="28">
        <f t="shared" si="183"/>
      </c>
      <c r="FF60" s="28">
        <f t="shared" si="184"/>
      </c>
      <c r="FG60" s="28">
        <f t="shared" si="185"/>
      </c>
      <c r="FH60" s="28">
        <f t="shared" si="186"/>
      </c>
      <c r="FI60" s="28">
        <f t="shared" si="187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48"/>
      </c>
      <c r="FW60" s="26">
        <f t="shared" si="246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88"/>
      </c>
      <c r="GD60" s="27">
        <f t="shared" si="189"/>
      </c>
      <c r="GE60" s="27">
        <f t="shared" si="236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19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9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0"/>
      </c>
      <c r="AS61" s="197">
        <f>IF(AND($F$8&lt;3,AR61&lt;&gt;""),HLOOKUP(MATCH(EQ61,EZ61:FA61,0),Discards,1,FALSE),"")</f>
      </c>
      <c r="AT61" s="193">
        <f t="shared" si="161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3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5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7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9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1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3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5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7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8"/>
      </c>
      <c r="FA61" s="28">
        <f t="shared" si="179"/>
      </c>
      <c r="FB61" s="28">
        <f t="shared" si="180"/>
      </c>
      <c r="FC61" s="28">
        <f t="shared" si="181"/>
      </c>
      <c r="FD61" s="28">
        <f t="shared" si="182"/>
      </c>
      <c r="FE61" s="28">
        <f t="shared" si="183"/>
      </c>
      <c r="FF61" s="28">
        <f t="shared" si="184"/>
      </c>
      <c r="FG61" s="28">
        <f t="shared" si="185"/>
      </c>
      <c r="FH61" s="28">
        <f t="shared" si="186"/>
      </c>
      <c r="FI61" s="28">
        <f t="shared" si="187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48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88"/>
      </c>
      <c r="GD61" s="27">
        <f t="shared" si="189"/>
      </c>
      <c r="GE61" s="27">
        <f t="shared" si="236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19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9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1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8"/>
      </c>
      <c r="FA62" s="28">
        <f t="shared" si="179"/>
      </c>
      <c r="FB62" s="28">
        <f t="shared" si="180"/>
      </c>
      <c r="FC62" s="28">
        <f t="shared" si="181"/>
      </c>
      <c r="FD62" s="28">
        <f t="shared" si="182"/>
      </c>
      <c r="FE62" s="28">
        <f t="shared" si="183"/>
      </c>
      <c r="FF62" s="28">
        <f t="shared" si="184"/>
      </c>
      <c r="FG62" s="28">
        <f t="shared" si="185"/>
      </c>
      <c r="FH62" s="28">
        <f t="shared" si="186"/>
      </c>
      <c r="FI62" s="28">
        <f t="shared" si="187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48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88"/>
      </c>
      <c r="GD62" s="27">
        <f t="shared" si="189"/>
      </c>
      <c r="GE62" s="27">
        <f t="shared" si="236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2" r:id="rId4"/>
  <headerFooter alignWithMargins="0">
    <oddHeader>&amp;CBMFA Slope League 2004&amp;R&amp;F</oddHeader>
  </headerFooter>
  <colBreaks count="2" manualBreakCount="2">
    <brk id="48" min="10" max="34" man="1"/>
    <brk id="72" min="10" max="3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2004-03-31T17:15:31Z</cp:lastPrinted>
  <dcterms:created xsi:type="dcterms:W3CDTF">1996-08-15T17:51:04Z</dcterms:created>
  <dcterms:modified xsi:type="dcterms:W3CDTF">2004-03-31T17:24:59Z</dcterms:modified>
  <cp:category/>
  <cp:version/>
  <cp:contentType/>
  <cp:contentStatus/>
</cp:coreProperties>
</file>